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920"/>
  </bookViews>
  <sheets>
    <sheet name="ورود" sheetId="1" r:id="rId1"/>
    <sheet name="موضوعات" sheetId="2" r:id="rId2"/>
    <sheet name="لیست تجهیزات" sheetId="3" r:id="rId3"/>
    <sheet name="پخت و پز خانگی" sheetId="4" r:id="rId4"/>
    <sheet name="پخت و پز صنعتی" sheetId="6" r:id="rId5"/>
    <sheet name="سماور گازی" sheetId="8" r:id="rId6"/>
    <sheet name="ضریب تصحی توان حرارتی خانگی" sheetId="10" r:id="rId7"/>
    <sheet name="ضریب تصحی توان حرارتی صنعتی" sheetId="12" r:id="rId8"/>
    <sheet name="ضریب تصحیح بازده خانگی" sheetId="13" r:id="rId9"/>
    <sheet name="ضریب تصحیح بازده صنعتی" sheetId="14" r:id="rId10"/>
    <sheet name="گذر حجمی" sheetId="15" r:id="rId11"/>
    <sheet name="توان خانگی" sheetId="16" r:id="rId12"/>
    <sheet name="توان صنعتی" sheetId="17" r:id="rId13"/>
    <sheet name="بازده خانگی" sheetId="18" r:id="rId14"/>
    <sheet name="بازده صنعتی" sheetId="19" r:id="rId15"/>
    <sheet name="فشار بخار" sheetId="20" r:id="rId16"/>
    <sheet name="احتراق" sheetId="22" r:id="rId17"/>
    <sheet name="گرید صفحه" sheetId="26" r:id="rId18"/>
    <sheet name="مصرف جبرانی" sheetId="25" r:id="rId19"/>
    <sheet name="جدول گاز" sheetId="24" r:id="rId20"/>
    <sheet name="data" sheetId="11" r:id="rId21"/>
    <sheet name="GAS" sheetId="23" r:id="rId22"/>
  </sheets>
  <externalReferences>
    <externalReference r:id="rId23"/>
  </externalReferences>
  <calcPr calcId="152511"/>
</workbook>
</file>

<file path=xl/calcChain.xml><?xml version="1.0" encoding="utf-8"?>
<calcChain xmlns="http://schemas.openxmlformats.org/spreadsheetml/2006/main">
  <c r="F6" i="24" l="1"/>
  <c r="G6" i="24"/>
  <c r="D6" i="24"/>
  <c r="E32" i="26"/>
  <c r="J30" i="26"/>
  <c r="F7" i="26"/>
  <c r="F7" i="25"/>
  <c r="J4" i="26"/>
  <c r="K4" i="25"/>
  <c r="H4" i="26"/>
  <c r="H4" i="25"/>
  <c r="E4" i="26"/>
  <c r="N23" i="26"/>
  <c r="L23" i="26"/>
  <c r="J23" i="26"/>
  <c r="H23" i="26"/>
  <c r="F23" i="26"/>
  <c r="I30" i="25"/>
  <c r="N30" i="26" l="1"/>
  <c r="E30" i="26"/>
  <c r="F7" i="19" l="1"/>
  <c r="F7" i="16" l="1"/>
  <c r="K4" i="19"/>
  <c r="K4" i="18"/>
  <c r="K4" i="17"/>
  <c r="K4" i="16"/>
  <c r="K4" i="14"/>
  <c r="K4" i="10"/>
  <c r="K4" i="12"/>
  <c r="K4" i="13"/>
  <c r="H4" i="19"/>
  <c r="H4" i="18"/>
  <c r="H4" i="17"/>
  <c r="H4" i="16"/>
  <c r="H4" i="14"/>
  <c r="H4" i="10"/>
  <c r="H4" i="12"/>
  <c r="H4" i="13"/>
  <c r="E4" i="10"/>
  <c r="E4" i="12"/>
  <c r="E4" i="25"/>
  <c r="E4" i="19"/>
  <c r="E4" i="18"/>
  <c r="E4" i="17"/>
  <c r="E4" i="16"/>
  <c r="E4" i="14"/>
  <c r="E4" i="13"/>
  <c r="I23" i="25"/>
  <c r="I15" i="25"/>
  <c r="I17" i="25" s="1"/>
  <c r="I28" i="25" l="1"/>
  <c r="C2" i="23" l="1"/>
  <c r="E79" i="23" s="1"/>
  <c r="E84" i="24"/>
  <c r="D84" i="24"/>
  <c r="C84" i="24"/>
  <c r="D18" i="24"/>
  <c r="C18" i="24"/>
  <c r="B18" i="24"/>
  <c r="H10" i="24"/>
  <c r="G10" i="24"/>
  <c r="F10" i="24"/>
  <c r="E10" i="24"/>
  <c r="D10" i="24"/>
  <c r="C10" i="24"/>
  <c r="B10" i="24"/>
  <c r="E14" i="24"/>
  <c r="D14" i="24"/>
  <c r="C14" i="24"/>
  <c r="B14" i="24"/>
  <c r="I6" i="24"/>
  <c r="H6" i="24"/>
  <c r="E6" i="24"/>
  <c r="C6" i="24"/>
  <c r="B6" i="24" l="1"/>
  <c r="C5" i="23"/>
  <c r="E5" i="23"/>
  <c r="G5" i="23"/>
  <c r="F7" i="22" s="1"/>
  <c r="F22" i="22" s="1"/>
  <c r="F24" i="22" s="1"/>
  <c r="I5" i="23"/>
  <c r="K5" i="23"/>
  <c r="C8" i="23"/>
  <c r="E8" i="23"/>
  <c r="G8" i="23"/>
  <c r="I8" i="23"/>
  <c r="K8" i="23"/>
  <c r="K4" i="22" s="1"/>
  <c r="D79" i="23"/>
  <c r="D5" i="23"/>
  <c r="F5" i="23"/>
  <c r="H4" i="22" s="1"/>
  <c r="H5" i="23"/>
  <c r="J5" i="23"/>
  <c r="B8" i="23"/>
  <c r="D8" i="23"/>
  <c r="F8" i="23"/>
  <c r="H8" i="23"/>
  <c r="J8" i="23"/>
  <c r="C79" i="23"/>
  <c r="B5" i="23" l="1"/>
  <c r="F9" i="20" l="1"/>
  <c r="O35" i="11"/>
  <c r="Q35" i="11" s="1"/>
  <c r="P38" i="11"/>
  <c r="P37" i="11"/>
  <c r="P36" i="11"/>
  <c r="P35" i="11"/>
  <c r="O38" i="11"/>
  <c r="Q38" i="11" s="1"/>
  <c r="P21" i="11"/>
  <c r="P20" i="11"/>
  <c r="P19" i="11"/>
  <c r="P18" i="11"/>
  <c r="O21" i="11"/>
  <c r="P26" i="11"/>
  <c r="P27" i="11"/>
  <c r="P28" i="11"/>
  <c r="P29" i="11"/>
  <c r="H10" i="17"/>
  <c r="O26" i="11"/>
  <c r="P13" i="11"/>
  <c r="P12" i="11"/>
  <c r="P11" i="11"/>
  <c r="P10" i="11"/>
  <c r="H10" i="16"/>
  <c r="O13" i="11"/>
  <c r="O29" i="11" l="1"/>
  <c r="Q29" i="11" s="1"/>
  <c r="O27" i="11"/>
  <c r="Q27" i="11" s="1"/>
  <c r="O28" i="11"/>
  <c r="Q28" i="11" s="1"/>
  <c r="O37" i="11"/>
  <c r="Q37" i="11" s="1"/>
  <c r="O36" i="11"/>
  <c r="Q36" i="11" s="1"/>
  <c r="F32" i="19" s="1"/>
  <c r="O18" i="11"/>
  <c r="O20" i="11"/>
  <c r="O19" i="11"/>
  <c r="Q19" i="11" s="1"/>
  <c r="Q26" i="11"/>
  <c r="F7" i="17" s="1"/>
  <c r="F15" i="17" s="1"/>
  <c r="F17" i="17" s="1"/>
  <c r="O10" i="11"/>
  <c r="O12" i="11"/>
  <c r="Q12" i="11" s="1"/>
  <c r="O11" i="11"/>
  <c r="I20" i="15"/>
  <c r="D20" i="15"/>
  <c r="F7" i="15"/>
  <c r="K4" i="15"/>
  <c r="H4" i="15"/>
  <c r="E4" i="15"/>
  <c r="J38" i="11"/>
  <c r="J37" i="11"/>
  <c r="J36" i="11"/>
  <c r="J35" i="11"/>
  <c r="J13" i="14"/>
  <c r="F20" i="14"/>
  <c r="I38" i="11"/>
  <c r="K38" i="11" s="1"/>
  <c r="J10" i="11"/>
  <c r="J11" i="11"/>
  <c r="J12" i="11"/>
  <c r="J13" i="11"/>
  <c r="J13" i="13"/>
  <c r="F20" i="13"/>
  <c r="I13" i="11"/>
  <c r="D38" i="11"/>
  <c r="D37" i="11"/>
  <c r="D36" i="11"/>
  <c r="D35" i="11"/>
  <c r="C37" i="11"/>
  <c r="D13" i="11"/>
  <c r="D12" i="11"/>
  <c r="D11" i="11"/>
  <c r="D10" i="11"/>
  <c r="J30" i="11"/>
  <c r="K30" i="11" s="1"/>
  <c r="D30" i="11"/>
  <c r="E30" i="11" s="1"/>
  <c r="J29" i="11"/>
  <c r="D29" i="11"/>
  <c r="J28" i="11"/>
  <c r="K28" i="11" s="1"/>
  <c r="D28" i="11"/>
  <c r="E28" i="11" s="1"/>
  <c r="J27" i="11"/>
  <c r="D27" i="11"/>
  <c r="J26" i="11"/>
  <c r="K26" i="11" s="1"/>
  <c r="D26" i="11"/>
  <c r="E26" i="11" s="1"/>
  <c r="J25" i="11"/>
  <c r="D25" i="11"/>
  <c r="J24" i="11"/>
  <c r="K24" i="11" s="1"/>
  <c r="D24" i="11"/>
  <c r="E24" i="11" s="1"/>
  <c r="J23" i="11"/>
  <c r="D23" i="11"/>
  <c r="J22" i="11"/>
  <c r="K22" i="11" s="1"/>
  <c r="D22" i="11"/>
  <c r="E22" i="11" s="1"/>
  <c r="Q21" i="11"/>
  <c r="J21" i="11"/>
  <c r="D21" i="11"/>
  <c r="Q20" i="11"/>
  <c r="J20" i="11"/>
  <c r="D20" i="11"/>
  <c r="J19" i="11"/>
  <c r="D19" i="11"/>
  <c r="Q18" i="11"/>
  <c r="J18" i="11"/>
  <c r="D18" i="11"/>
  <c r="J17" i="11"/>
  <c r="K17" i="11" s="1"/>
  <c r="D17" i="11"/>
  <c r="E17" i="11" s="1"/>
  <c r="Q13" i="11"/>
  <c r="Q11" i="11"/>
  <c r="Q10" i="11"/>
  <c r="F15" i="16" s="1"/>
  <c r="F17" i="16" s="1"/>
  <c r="C13" i="11"/>
  <c r="K18" i="11" l="1"/>
  <c r="E20" i="11"/>
  <c r="E18" i="11"/>
  <c r="K20" i="11"/>
  <c r="F7" i="18"/>
  <c r="F32" i="18" s="1"/>
  <c r="C38" i="11"/>
  <c r="E38" i="11" s="1"/>
  <c r="F20" i="10"/>
  <c r="C10" i="11"/>
  <c r="I35" i="11"/>
  <c r="I37" i="11"/>
  <c r="K35" i="11"/>
  <c r="K37" i="11"/>
  <c r="I36" i="11"/>
  <c r="K36" i="11" s="1"/>
  <c r="K13" i="11"/>
  <c r="I10" i="11"/>
  <c r="K10" i="11" s="1"/>
  <c r="I12" i="11"/>
  <c r="K12" i="11" s="1"/>
  <c r="I11" i="11"/>
  <c r="K11" i="11" s="1"/>
  <c r="C36" i="11"/>
  <c r="E36" i="11" s="1"/>
  <c r="F20" i="12"/>
  <c r="C35" i="11"/>
  <c r="E35" i="11" s="1"/>
  <c r="E37" i="11"/>
  <c r="C12" i="11"/>
  <c r="C11" i="11"/>
  <c r="E10" i="11"/>
  <c r="E11" i="11"/>
  <c r="E12" i="11"/>
  <c r="E13" i="11"/>
  <c r="F7" i="12" l="1"/>
  <c r="F7" i="13"/>
  <c r="F7" i="14"/>
  <c r="F7" i="10"/>
</calcChain>
</file>

<file path=xl/sharedStrings.xml><?xml version="1.0" encoding="utf-8"?>
<sst xmlns="http://schemas.openxmlformats.org/spreadsheetml/2006/main" count="755" uniqueCount="163">
  <si>
    <t xml:space="preserve">نوع گاز آزمون </t>
  </si>
  <si>
    <t xml:space="preserve">شناسه گاز مرجع </t>
  </si>
  <si>
    <t xml:space="preserve">چگالی گاز مرجع </t>
  </si>
  <si>
    <t xml:space="preserve">فشار آزمون </t>
  </si>
  <si>
    <t>مایع</t>
  </si>
  <si>
    <t>طبیعی</t>
  </si>
  <si>
    <t xml:space="preserve">نوع وسیله </t>
  </si>
  <si>
    <t>ارزش حرارتی گاز آزمون (Mj/m3)</t>
  </si>
  <si>
    <t>صنعتی</t>
  </si>
  <si>
    <t>خانگی</t>
  </si>
  <si>
    <t xml:space="preserve">فشار جو بر حسب میلی بار </t>
  </si>
  <si>
    <t>دمای گاز بر حسب درجه سلسیوس</t>
  </si>
  <si>
    <t xml:space="preserve">چگالی گاز آزمون </t>
  </si>
  <si>
    <t xml:space="preserve">ضریب تصحیح توان </t>
  </si>
  <si>
    <t>نوع گاز</t>
  </si>
  <si>
    <t>شناسه مرجع</t>
  </si>
  <si>
    <t>ترکیب</t>
  </si>
  <si>
    <t>چگالی</t>
  </si>
  <si>
    <r>
      <t>ارزش حرارتی نا خالص (</t>
    </r>
    <r>
      <rPr>
        <sz val="11"/>
        <color theme="1"/>
        <rFont val="Calibri"/>
        <family val="2"/>
      </rPr>
      <t>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B Koodak"/>
        <charset val="178"/>
      </rPr>
      <t>)</t>
    </r>
  </si>
  <si>
    <r>
      <t>ارزش حرارتی خالص (</t>
    </r>
    <r>
      <rPr>
        <sz val="11"/>
        <color theme="1"/>
        <rFont val="Calibri"/>
        <family val="2"/>
      </rPr>
      <t>H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B Koodak"/>
        <charset val="178"/>
      </rPr>
      <t>)</t>
    </r>
  </si>
  <si>
    <t>فشار آزمون</t>
  </si>
  <si>
    <t>درصد دی اکسید کربن خنثی</t>
  </si>
  <si>
    <t>d</t>
  </si>
  <si>
    <r>
      <t>[MJ/m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</si>
  <si>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t>[mbar]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</si>
  <si>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[%]</t>
    </r>
  </si>
  <si>
    <t>کوچک</t>
  </si>
  <si>
    <t>G20</t>
  </si>
  <si>
    <t>متان</t>
  </si>
  <si>
    <t>متوسط</t>
  </si>
  <si>
    <t>G31</t>
  </si>
  <si>
    <t>پروپان</t>
  </si>
  <si>
    <t>بزرگ</t>
  </si>
  <si>
    <t>پلوپز</t>
  </si>
  <si>
    <t>نوع وسیله</t>
  </si>
  <si>
    <t>نتیجه</t>
  </si>
  <si>
    <t>طبیعی و خانگی</t>
  </si>
  <si>
    <t>طبیعی و صنعتی</t>
  </si>
  <si>
    <t>مایع و خانگی</t>
  </si>
  <si>
    <t>مایع و صنعتی</t>
  </si>
  <si>
    <t>A</t>
  </si>
  <si>
    <t>B</t>
  </si>
  <si>
    <t>C</t>
  </si>
  <si>
    <t>D</t>
  </si>
  <si>
    <t>E</t>
  </si>
  <si>
    <t>F</t>
  </si>
  <si>
    <t>G</t>
  </si>
  <si>
    <t>مردود</t>
  </si>
  <si>
    <t>شاخص مشعل های فوقانی</t>
  </si>
  <si>
    <t>شاخص فر</t>
  </si>
  <si>
    <t>ضریب تصحیح توان خانگی</t>
  </si>
  <si>
    <t>ضریب تصحیح توان صنعتی</t>
  </si>
  <si>
    <t>محاسبه فشار جزئی بخار آب (میلی بار)</t>
  </si>
  <si>
    <t>فشار جزئی بخار آب (میلی بار)</t>
  </si>
  <si>
    <t xml:space="preserve">ضریب تصحیح بازده حرارتی </t>
  </si>
  <si>
    <t>ضریب تصحیح بازده خانگی</t>
  </si>
  <si>
    <t>ضریب تصحیح بازده صنعتی</t>
  </si>
  <si>
    <t>حجم گاز مصرفی بر حسب لیتر</t>
  </si>
  <si>
    <t>زمان بر حسب ثانیه</t>
  </si>
  <si>
    <t>ضریب تصحیح</t>
  </si>
  <si>
    <t>دبی بر حسب متر مکعب بر ساعت</t>
  </si>
  <si>
    <t>دبی بر حسب لیتر بر ساعت</t>
  </si>
  <si>
    <t>گذر حجمی تصحیح شده (مترمکعب بر ساعت)</t>
  </si>
  <si>
    <t>گذر حجمی تصحیح شده (لیتر بر ساعت)</t>
  </si>
  <si>
    <t>توان حرارتی بر حسب کیلو وات</t>
  </si>
  <si>
    <t>توان حرارتی بر حسب کیلو کالری بر ساعت</t>
  </si>
  <si>
    <t>توان حرارتی خانگی</t>
  </si>
  <si>
    <t>توان حرارتی صنعتی</t>
  </si>
  <si>
    <t>جرم آزمون بر حسب کیلو گرم</t>
  </si>
  <si>
    <t>دمای اولیه آب بر حسب درجه سلسیوس</t>
  </si>
  <si>
    <t>دمای نهایی آب بر حسب درجه سلسیوس</t>
  </si>
  <si>
    <t>حجم گاز بر حسب متر مکعب</t>
  </si>
  <si>
    <t>ضریب تصحیح حجم گاز</t>
  </si>
  <si>
    <t>راندمان بر حسب درصد</t>
  </si>
  <si>
    <t>بازده خانگی</t>
  </si>
  <si>
    <t>بازده صنعتی</t>
  </si>
  <si>
    <t xml:space="preserve">دمای گاز </t>
  </si>
  <si>
    <t>دی اکسید کربن خنثی (درصد)</t>
  </si>
  <si>
    <t>حجم مواکسید کربن (درصد)</t>
  </si>
  <si>
    <t>حجم دی اکسید کربن (درصد)</t>
  </si>
  <si>
    <t>غلظ حجمی منواکسید کربن (%)</t>
  </si>
  <si>
    <t>غلظ حجمی منواکسید کربن (ppm)</t>
  </si>
  <si>
    <t>کد گاز:</t>
  </si>
  <si>
    <t>مشخصات</t>
  </si>
  <si>
    <t>خانواده</t>
  </si>
  <si>
    <t>گروه</t>
  </si>
  <si>
    <t xml:space="preserve">ارزش حرارتی </t>
  </si>
  <si>
    <t>عدد ووب</t>
  </si>
  <si>
    <t>CO2(%)</t>
  </si>
  <si>
    <t>مرجع</t>
  </si>
  <si>
    <t>دوده زایی</t>
  </si>
  <si>
    <t>پرش شعله</t>
  </si>
  <si>
    <t>تو گشیدگی</t>
  </si>
  <si>
    <t>ترکیبات</t>
  </si>
  <si>
    <t>CH4</t>
  </si>
  <si>
    <t>C3H6</t>
  </si>
  <si>
    <t>C3H8</t>
  </si>
  <si>
    <t>n-C4H10</t>
  </si>
  <si>
    <t>I-C4H10</t>
  </si>
  <si>
    <t>H2</t>
  </si>
  <si>
    <t>N2</t>
  </si>
  <si>
    <t>معمولی</t>
  </si>
  <si>
    <t>نقصانی</t>
  </si>
  <si>
    <t>اضافی</t>
  </si>
  <si>
    <t>کد</t>
  </si>
  <si>
    <t>ووب خالص</t>
  </si>
  <si>
    <t>ارزش حرارتی خالص</t>
  </si>
  <si>
    <t>ووب ناخالص</t>
  </si>
  <si>
    <t>ارزش حرارتی ناخالص</t>
  </si>
  <si>
    <t>CO2</t>
  </si>
  <si>
    <t>فشار آزمون (میلی بار)</t>
  </si>
  <si>
    <t>%</t>
  </si>
  <si>
    <t>MJ/m3</t>
  </si>
  <si>
    <t>P</t>
  </si>
  <si>
    <t>Pmin</t>
  </si>
  <si>
    <t>Pmax</t>
  </si>
  <si>
    <t>G110</t>
  </si>
  <si>
    <t>اول</t>
  </si>
  <si>
    <t>a</t>
  </si>
  <si>
    <t>گاز حدی</t>
  </si>
  <si>
    <t>G112</t>
  </si>
  <si>
    <t>توکشیدگی</t>
  </si>
  <si>
    <t>دوم</t>
  </si>
  <si>
    <t>H</t>
  </si>
  <si>
    <t>گاز مرجع</t>
  </si>
  <si>
    <t>G21</t>
  </si>
  <si>
    <t>G222</t>
  </si>
  <si>
    <t>G23</t>
  </si>
  <si>
    <t>G25</t>
  </si>
  <si>
    <t>L</t>
  </si>
  <si>
    <t>G26</t>
  </si>
  <si>
    <t>G27</t>
  </si>
  <si>
    <t>G231</t>
  </si>
  <si>
    <t>G30</t>
  </si>
  <si>
    <t>سوم</t>
  </si>
  <si>
    <t>3B/P</t>
  </si>
  <si>
    <t>G32</t>
  </si>
  <si>
    <t xml:space="preserve">3B </t>
  </si>
  <si>
    <t>ارتفاع مفید محفظه فر (سانتیمتر)</t>
  </si>
  <si>
    <t>حجم مفید محفظه فر ( دسی متر مکعب )</t>
  </si>
  <si>
    <t>عمق مفید محفظه فر ( سانتیمتر)</t>
  </si>
  <si>
    <t>مصرف جبرانی استاندارد (کیلو وات)</t>
  </si>
  <si>
    <t>عرض مفید محفظه قر (سانتیمتر)</t>
  </si>
  <si>
    <t>حجم گاز مصرفی (لیتر)</t>
  </si>
  <si>
    <t>مصرف جبرانی واقعی (کیلووات)</t>
  </si>
  <si>
    <t>زمان آزمون (ثانیه)</t>
  </si>
  <si>
    <t>شاخص  مصرف انرژی فر (درصد)</t>
  </si>
  <si>
    <t xml:space="preserve">ضریب تصحیح </t>
  </si>
  <si>
    <t xml:space="preserve">گرید شاخص مصرف فر </t>
  </si>
  <si>
    <t>سایز مشعل</t>
  </si>
  <si>
    <t>بازده حرارتی (درصد)</t>
  </si>
  <si>
    <t>توان حرارتی (کیلو وات)</t>
  </si>
  <si>
    <t>دبی (متر مکعب بر ساعت)</t>
  </si>
  <si>
    <t>استفاده سالیانه (ساعت)</t>
  </si>
  <si>
    <t>بازده خالص سالیانه (درصد)</t>
  </si>
  <si>
    <t>گرید مشعل های فوقانی</t>
  </si>
  <si>
    <t>مصرف گاز سالیانه (مترمکعب)</t>
  </si>
  <si>
    <t>میانگین بازده صفحه مشعل (درصد)</t>
  </si>
  <si>
    <t xml:space="preserve">ارزش حرارتی خالص </t>
  </si>
  <si>
    <t xml:space="preserve">ارزش حرارتی ناخالص </t>
  </si>
  <si>
    <t>عدد ووب خالص</t>
  </si>
  <si>
    <t>عدد ووب ناخالص</t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</si>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</sst>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9">
    <font>
      <sz val="11"/>
      <color theme="1"/>
      <name val="Arial"/>
      <family val="2"/>
      <scheme val="minor"/>
    </font>
    <font>
      <sz val="11"/>
      <color theme="1"/>
      <name val="B Koodak"/>
      <charset val="178"/>
    </font>
    <font>
      <b/>
      <sz val="14"/>
      <color rgb="FF0070C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theme="1"/>
      <name val="B Koodak"/>
      <charset val="178"/>
    </font>
    <font>
      <sz val="12"/>
      <color theme="1"/>
      <name val="B Koodak"/>
      <charset val="178"/>
    </font>
    <font>
      <b/>
      <sz val="14"/>
      <color rgb="FF002060"/>
      <name val="Arial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8"/>
      <color theme="1"/>
      <name val="Arial"/>
      <family val="2"/>
      <scheme val="minor"/>
    </font>
    <font>
      <b/>
      <sz val="14"/>
      <color rgb="FF7030A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9" tint="-0.499984740745262"/>
      <name val="Arial"/>
      <family val="2"/>
      <scheme val="minor"/>
    </font>
    <font>
      <sz val="12"/>
      <name val="Traffic"/>
    </font>
    <font>
      <b/>
      <sz val="12"/>
      <color rgb="FFFF0000"/>
      <name val="Traffic"/>
    </font>
    <font>
      <b/>
      <sz val="12"/>
      <name val="Traffic"/>
    </font>
    <font>
      <sz val="12"/>
      <name val="B Roya"/>
      <charset val="178"/>
    </font>
    <font>
      <sz val="12"/>
      <name val="B Nazanin"/>
      <charset val="178"/>
    </font>
    <font>
      <sz val="11"/>
      <name val="Traffic"/>
    </font>
    <font>
      <b/>
      <sz val="12"/>
      <color rgb="FF0070C0"/>
      <name val="Traffic"/>
    </font>
    <font>
      <b/>
      <sz val="12"/>
      <color rgb="FF008000"/>
      <name val="Traffic"/>
    </font>
    <font>
      <b/>
      <sz val="12"/>
      <name val="B Roya"/>
      <charset val="178"/>
    </font>
    <font>
      <b/>
      <sz val="14"/>
      <color theme="1"/>
      <name val="Arial"/>
      <family val="2"/>
      <scheme val="minor"/>
    </font>
    <font>
      <sz val="8"/>
      <color theme="1"/>
      <name val="B Koodak"/>
      <charset val="178"/>
    </font>
    <font>
      <b/>
      <sz val="11"/>
      <color theme="3"/>
      <name val="Arial"/>
      <family val="2"/>
      <scheme val="minor"/>
    </font>
    <font>
      <b/>
      <sz val="14"/>
      <color theme="3"/>
      <name val="Arial"/>
      <family val="2"/>
      <scheme val="minor"/>
    </font>
    <font>
      <sz val="11"/>
      <name val="B Nazanin"/>
      <charset val="178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2DBDB"/>
        <bgColor rgb="FFF2DBDB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0" fillId="0" borderId="1" xfId="0" applyBorder="1"/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/>
    <xf numFmtId="2" fontId="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2" fontId="11" fillId="0" borderId="0" xfId="0" applyNumberFormat="1" applyFont="1" applyBorder="1" applyAlignment="1">
      <alignment vertical="center"/>
    </xf>
    <xf numFmtId="0" fontId="0" fillId="0" borderId="0" xfId="0" applyFont="1" applyAlignment="1"/>
    <xf numFmtId="0" fontId="14" fillId="0" borderId="0" xfId="0" applyFont="1"/>
    <xf numFmtId="0" fontId="17" fillId="0" borderId="14" xfId="0" applyFont="1" applyBorder="1" applyAlignment="1"/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18" fillId="4" borderId="21" xfId="0" applyFont="1" applyFill="1" applyBorder="1" applyAlignment="1">
      <alignment horizontal="center" vertical="center" shrinkToFit="1"/>
    </xf>
    <xf numFmtId="0" fontId="18" fillId="4" borderId="16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shrinkToFit="1"/>
    </xf>
    <xf numFmtId="0" fontId="14" fillId="0" borderId="27" xfId="0" applyFont="1" applyBorder="1"/>
    <xf numFmtId="0" fontId="14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4" fillId="0" borderId="37" xfId="0" applyFont="1" applyBorder="1"/>
    <xf numFmtId="0" fontId="14" fillId="0" borderId="37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33" xfId="0" applyFont="1" applyBorder="1"/>
    <xf numFmtId="0" fontId="18" fillId="0" borderId="3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20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2" fontId="12" fillId="0" borderId="1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2" fontId="11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0" fillId="0" borderId="0" xfId="0" applyFill="1"/>
    <xf numFmtId="0" fontId="26" fillId="0" borderId="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28" fillId="4" borderId="48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/>
    </xf>
    <xf numFmtId="0" fontId="28" fillId="4" borderId="50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4" fillId="4" borderId="50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2" fontId="25" fillId="0" borderId="2" xfId="0" applyNumberFormat="1" applyFont="1" applyBorder="1" applyAlignment="1" applyProtection="1">
      <alignment horizontal="center"/>
    </xf>
    <xf numFmtId="2" fontId="25" fillId="0" borderId="3" xfId="0" applyNumberFormat="1" applyFont="1" applyBorder="1" applyAlignment="1" applyProtection="1">
      <alignment horizontal="center"/>
    </xf>
    <xf numFmtId="2" fontId="25" fillId="0" borderId="4" xfId="0" applyNumberFormat="1" applyFont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0" fillId="0" borderId="0" xfId="0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 applyProtection="1">
      <alignment horizontal="center" vertical="center"/>
      <protection locked="0"/>
    </xf>
    <xf numFmtId="2" fontId="11" fillId="0" borderId="4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5" fillId="0" borderId="41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 shrinkToFit="1"/>
    </xf>
    <xf numFmtId="0" fontId="18" fillId="4" borderId="46" xfId="0" applyFont="1" applyFill="1" applyBorder="1" applyAlignment="1">
      <alignment horizontal="center" vertical="center" shrinkToFit="1"/>
    </xf>
    <xf numFmtId="0" fontId="18" fillId="4" borderId="50" xfId="0" applyFont="1" applyFill="1" applyBorder="1" applyAlignment="1">
      <alignment horizontal="center" vertical="center" shrinkToFit="1"/>
    </xf>
    <xf numFmtId="0" fontId="18" fillId="4" borderId="44" xfId="0" applyFont="1" applyFill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42" xfId="0" applyFont="1" applyFill="1" applyBorder="1" applyAlignment="1">
      <alignment horizontal="center" vertical="center" shrinkToFit="1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16" xfId="0" applyFont="1" applyFill="1" applyBorder="1" applyAlignment="1">
      <alignment horizontal="center"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18" fillId="3" borderId="20" xfId="0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/>
    <xf numFmtId="0" fontId="14" fillId="0" borderId="24" xfId="0" applyFont="1" applyBorder="1"/>
    <xf numFmtId="0" fontId="14" fillId="0" borderId="34" xfId="0" applyFont="1" applyBorder="1"/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/>
    <xf numFmtId="0" fontId="14" fillId="0" borderId="35" xfId="0" applyFont="1" applyBorder="1"/>
    <xf numFmtId="0" fontId="14" fillId="0" borderId="38" xfId="0" applyFont="1" applyBorder="1"/>
    <xf numFmtId="0" fontId="14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30" xfId="0" applyFont="1" applyBorder="1"/>
    <xf numFmtId="0" fontId="14" fillId="0" borderId="3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/>
    <xf numFmtId="0" fontId="14" fillId="0" borderId="12" xfId="0" applyFont="1" applyBorder="1"/>
    <xf numFmtId="0" fontId="14" fillId="0" borderId="25" xfId="0" applyFont="1" applyBorder="1" applyAlignment="1">
      <alignment horizontal="center"/>
    </xf>
    <xf numFmtId="0" fontId="14" fillId="0" borderId="26" xfId="0" applyFont="1" applyBorder="1"/>
    <xf numFmtId="0" fontId="14" fillId="0" borderId="36" xfId="0" applyFont="1" applyBorder="1"/>
    <xf numFmtId="0" fontId="18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2"/>
    </xf>
    <xf numFmtId="0" fontId="14" fillId="0" borderId="17" xfId="0" applyFont="1" applyBorder="1"/>
    <xf numFmtId="0" fontId="14" fillId="0" borderId="18" xfId="0" applyFont="1" applyBorder="1"/>
    <xf numFmtId="0" fontId="18" fillId="3" borderId="19" xfId="0" applyFont="1" applyFill="1" applyBorder="1" applyAlignment="1">
      <alignment horizontal="center" vertical="center" shrinkToFit="1"/>
    </xf>
    <xf numFmtId="0" fontId="14" fillId="0" borderId="20" xfId="0" applyFont="1" applyBorder="1"/>
  </cellXfs>
  <cellStyles count="1">
    <cellStyle name="Normal" xfId="0" builtinId="0"/>
  </cellStyles>
  <dxfs count="14"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lor rgb="FFFF9933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00B050"/>
      </font>
    </dxf>
    <dxf>
      <font>
        <color theme="9" tint="-0.499984740745262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lor rgb="FFFF9933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00B050"/>
      </font>
    </dxf>
    <dxf>
      <font>
        <color theme="9" tint="-0.49998474074526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605;&#1608;&#1590;&#1608;&#1593;&#1575;&#1578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9;&#1606;&#1593;&#1578;&#1740;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&#1604;&#1740;&#1587;&#1578; &#1578;&#1580;&#1607;&#1740;&#1586;&#1575;&#1578;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9;&#1606;&#1593;&#1578;&#1740;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9;&#1606;&#1593;&#1578;&#1740;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1605;&#1608;&#1590;&#1608;&#1593;&#1575;&#1578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80;&#1583;&#1608;&#1604; &#1711;&#1575;&#1586;'!A1"/><Relationship Id="rId1" Type="http://schemas.openxmlformats.org/officeDocument/2006/relationships/hyperlink" Target="#'&#1604;&#1740;&#1587;&#1578; &#1578;&#1580;&#1607;&#1740;&#1586;&#1575;&#1578;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1605;&#1608;&#1590;&#1608;&#1593;&#1575;&#1578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&#1587;&#1605;&#1575;&#1608;&#1585; &#1711;&#1575;&#1586;&#1740;'!A1"/><Relationship Id="rId2" Type="http://schemas.openxmlformats.org/officeDocument/2006/relationships/hyperlink" Target="#'&#1662;&#1582;&#1578; &#1608; &#1662;&#1586; &#1589;&#1606;&#1593;&#1578;&#1740;'!A1"/><Relationship Id="rId1" Type="http://schemas.openxmlformats.org/officeDocument/2006/relationships/hyperlink" Target="#'&#1662;&#1582;&#1578; &#1608; &#1662;&#1586; &#1582;&#1575;&#1606;&#1711;&#1740;'!A1"/><Relationship Id="rId4" Type="http://schemas.openxmlformats.org/officeDocument/2006/relationships/hyperlink" Target="#&#1605;&#1608;&#1590;&#1608;&#1593;&#1575;&#1578;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575;&#1581;&#1578;&#1585;&#1575;&#1602;!A1"/><Relationship Id="rId3" Type="http://schemas.openxmlformats.org/officeDocument/2006/relationships/hyperlink" Target="#'&#1711;&#1584;&#1585; &#1581;&#1580;&#1605;&#1740;'!A1"/><Relationship Id="rId7" Type="http://schemas.openxmlformats.org/officeDocument/2006/relationships/hyperlink" Target="#'&#1604;&#1740;&#1587;&#1578; &#1578;&#1580;&#1607;&#1740;&#1586;&#1575;&#1578;'!A1"/><Relationship Id="rId2" Type="http://schemas.openxmlformats.org/officeDocument/2006/relationships/hyperlink" Target="#'&#1590;&#1585;&#1740;&#1576; &#1578;&#1589;&#1581;&#1740; &#1578;&#1608;&#1575;&#1606; &#1581;&#1585;&#1575;&#1585;&#1578;&#1740; &#1582;&#1575;&#1606;&#1711;&#1740;'!A1"/><Relationship Id="rId1" Type="http://schemas.openxmlformats.org/officeDocument/2006/relationships/hyperlink" Target="#'&#1590;&#1585;&#1740;&#1576; &#1578;&#1589;&#1581;&#1740;&#1581; &#1576;&#1575;&#1586;&#1583;&#1607; &#1582;&#1575;&#1606;&#1711;&#1740;'!A1"/><Relationship Id="rId6" Type="http://schemas.openxmlformats.org/officeDocument/2006/relationships/hyperlink" Target="#'&#1601;&#1588;&#1575;&#1585; &#1576;&#1582;&#1575;&#1585;'!A1"/><Relationship Id="rId5" Type="http://schemas.openxmlformats.org/officeDocument/2006/relationships/hyperlink" Target="#'&#1576;&#1575;&#1586;&#1583;&#1607; &#1582;&#1575;&#1606;&#1711;&#1740;'!A1"/><Relationship Id="rId10" Type="http://schemas.openxmlformats.org/officeDocument/2006/relationships/hyperlink" Target="#'&#1711;&#1585;&#1740;&#1583; &#1589;&#1601;&#1581;&#1607;'!A1"/><Relationship Id="rId4" Type="http://schemas.openxmlformats.org/officeDocument/2006/relationships/hyperlink" Target="#'&#1578;&#1608;&#1575;&#1606; &#1582;&#1575;&#1606;&#1711;&#1740;'!A1"/><Relationship Id="rId9" Type="http://schemas.openxmlformats.org/officeDocument/2006/relationships/hyperlink" Target="#'&#1605;&#1589;&#1585;&#1601; &#1580;&#1576;&#1585;&#1575;&#1606;&#1740;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&#1575;&#1581;&#1578;&#1585;&#1575;&#1602;!A1"/><Relationship Id="rId3" Type="http://schemas.openxmlformats.org/officeDocument/2006/relationships/hyperlink" Target="#'&#1711;&#1584;&#1585; &#1581;&#1580;&#1605;&#1740;'!A1"/><Relationship Id="rId7" Type="http://schemas.openxmlformats.org/officeDocument/2006/relationships/hyperlink" Target="#'&#1604;&#1740;&#1587;&#1578; &#1578;&#1580;&#1607;&#1740;&#1586;&#1575;&#1578;'!A1"/><Relationship Id="rId2" Type="http://schemas.openxmlformats.org/officeDocument/2006/relationships/hyperlink" Target="#'&#1590;&#1585;&#1740;&#1576; &#1578;&#1589;&#1581;&#1740; &#1578;&#1608;&#1575;&#1606; &#1581;&#1585;&#1575;&#1585;&#1578;&#1740; &#1589;&#1606;&#1593;&#1578;&#1740;'!A1"/><Relationship Id="rId1" Type="http://schemas.openxmlformats.org/officeDocument/2006/relationships/hyperlink" Target="#'&#1590;&#1585;&#1740;&#1576; &#1578;&#1589;&#1581;&#1740;&#1581; &#1576;&#1575;&#1586;&#1583;&#1607; &#1589;&#1606;&#1593;&#1578;&#1740;'!A1"/><Relationship Id="rId6" Type="http://schemas.openxmlformats.org/officeDocument/2006/relationships/hyperlink" Target="#'&#1601;&#1588;&#1575;&#1585; &#1576;&#1582;&#1575;&#1585;'!A1"/><Relationship Id="rId5" Type="http://schemas.openxmlformats.org/officeDocument/2006/relationships/hyperlink" Target="#'&#1576;&#1575;&#1586;&#1583;&#1607; &#1589;&#1606;&#1593;&#1578;&#1740;'!A1"/><Relationship Id="rId4" Type="http://schemas.openxmlformats.org/officeDocument/2006/relationships/hyperlink" Target="#'&#1578;&#1608;&#1575;&#1606; &#1589;&#1606;&#1593;&#1578;&#1740;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&#1575;&#1581;&#1578;&#1585;&#1575;&#1602;!A1"/><Relationship Id="rId3" Type="http://schemas.openxmlformats.org/officeDocument/2006/relationships/hyperlink" Target="#'&#1711;&#1584;&#1585; &#1581;&#1580;&#1605;&#1740;'!A1"/><Relationship Id="rId7" Type="http://schemas.openxmlformats.org/officeDocument/2006/relationships/hyperlink" Target="#'&#1604;&#1740;&#1587;&#1578; &#1578;&#1580;&#1607;&#1740;&#1586;&#1575;&#1578;'!A1"/><Relationship Id="rId2" Type="http://schemas.openxmlformats.org/officeDocument/2006/relationships/hyperlink" Target="#'&#1590;&#1585;&#1740;&#1576; &#1578;&#1589;&#1581;&#1740; &#1578;&#1608;&#1575;&#1606; &#1581;&#1585;&#1575;&#1585;&#1578;&#1740; &#1589;&#1606;&#1593;&#1578;&#1740;'!A1"/><Relationship Id="rId1" Type="http://schemas.openxmlformats.org/officeDocument/2006/relationships/hyperlink" Target="#'&#1590;&#1585;&#1740;&#1576; &#1578;&#1589;&#1581;&#1740;&#1581; &#1576;&#1575;&#1586;&#1583;&#1607; &#1589;&#1606;&#1593;&#1578;&#1740;'!A1"/><Relationship Id="rId6" Type="http://schemas.openxmlformats.org/officeDocument/2006/relationships/hyperlink" Target="#'&#1601;&#1588;&#1575;&#1585; &#1576;&#1582;&#1575;&#1585;'!A1"/><Relationship Id="rId5" Type="http://schemas.openxmlformats.org/officeDocument/2006/relationships/hyperlink" Target="#'&#1576;&#1575;&#1586;&#1583;&#1607; &#1589;&#1606;&#1593;&#1578;&#1740;'!A1"/><Relationship Id="rId4" Type="http://schemas.openxmlformats.org/officeDocument/2006/relationships/hyperlink" Target="#'&#1578;&#1608;&#1575;&#1606; &#1589;&#1606;&#1593;&#1578;&#1740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9;&#1606;&#1593;&#1578;&#1740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1662;&#1582;&#1578; &#1608; &#1662;&#1586; &#1582;&#1575;&#1606;&#1711;&#1740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2</xdr:row>
      <xdr:rowOff>28575</xdr:rowOff>
    </xdr:from>
    <xdr:to>
      <xdr:col>10</xdr:col>
      <xdr:colOff>638632</xdr:colOff>
      <xdr:row>22</xdr:row>
      <xdr:rowOff>171975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650568" y="390525"/>
          <a:ext cx="3277057" cy="3762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2</xdr:row>
      <xdr:rowOff>9525</xdr:rowOff>
    </xdr:from>
    <xdr:to>
      <xdr:col>15</xdr:col>
      <xdr:colOff>9525</xdr:colOff>
      <xdr:row>4</xdr:row>
      <xdr:rowOff>57150</xdr:rowOff>
    </xdr:to>
    <xdr:sp macro="" textlink="">
      <xdr:nvSpPr>
        <xdr:cNvPr id="3" name="Round Same Side Corner Rectangle 2">
          <a:hlinkClick xmlns:r="http://schemas.openxmlformats.org/officeDocument/2006/relationships" r:id="rId1"/>
        </xdr:cNvPr>
        <xdr:cNvSpPr/>
      </xdr:nvSpPr>
      <xdr:spPr>
        <a:xfrm>
          <a:off x="11225850675" y="19050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16</xdr:col>
      <xdr:colOff>276225</xdr:colOff>
      <xdr:row>12</xdr:row>
      <xdr:rowOff>28575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4898175" y="3619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15</xdr:col>
      <xdr:colOff>276225</xdr:colOff>
      <xdr:row>4</xdr:row>
      <xdr:rowOff>47625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583975" y="18097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</xdr:row>
      <xdr:rowOff>47625</xdr:rowOff>
    </xdr:from>
    <xdr:to>
      <xdr:col>15</xdr:col>
      <xdr:colOff>333375</xdr:colOff>
      <xdr:row>4</xdr:row>
      <xdr:rowOff>95250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526825" y="22860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657225</xdr:colOff>
      <xdr:row>2</xdr:row>
      <xdr:rowOff>114300</xdr:rowOff>
    </xdr:from>
    <xdr:to>
      <xdr:col>15</xdr:col>
      <xdr:colOff>247650</xdr:colOff>
      <xdr:row>5</xdr:row>
      <xdr:rowOff>104775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612550" y="2095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657225</xdr:colOff>
      <xdr:row>2</xdr:row>
      <xdr:rowOff>114300</xdr:rowOff>
    </xdr:from>
    <xdr:to>
      <xdr:col>15</xdr:col>
      <xdr:colOff>247650</xdr:colOff>
      <xdr:row>5</xdr:row>
      <xdr:rowOff>104775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612550" y="2095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276225</xdr:colOff>
      <xdr:row>3</xdr:row>
      <xdr:rowOff>0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8327175" y="18097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17</xdr:col>
      <xdr:colOff>276225</xdr:colOff>
      <xdr:row>4</xdr:row>
      <xdr:rowOff>47625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4212375" y="18097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514350</xdr:colOff>
      <xdr:row>1</xdr:row>
      <xdr:rowOff>0</xdr:rowOff>
    </xdr:from>
    <xdr:to>
      <xdr:col>18</xdr:col>
      <xdr:colOff>104775</xdr:colOff>
      <xdr:row>4</xdr:row>
      <xdr:rowOff>47625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3698025" y="18097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619125</xdr:colOff>
      <xdr:row>2</xdr:row>
      <xdr:rowOff>47625</xdr:rowOff>
    </xdr:from>
    <xdr:to>
      <xdr:col>15</xdr:col>
      <xdr:colOff>209550</xdr:colOff>
      <xdr:row>4</xdr:row>
      <xdr:rowOff>95250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650650" y="12382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</xdr:row>
      <xdr:rowOff>104775</xdr:rowOff>
    </xdr:from>
    <xdr:to>
      <xdr:col>8</xdr:col>
      <xdr:colOff>533400</xdr:colOff>
      <xdr:row>6</xdr:row>
      <xdr:rowOff>9525</xdr:rowOff>
    </xdr:to>
    <xdr:sp macro="" textlink="">
      <xdr:nvSpPr>
        <xdr:cNvPr id="2" name="Round Diagonal Corner Rectangle 1">
          <a:hlinkClick xmlns:r="http://schemas.openxmlformats.org/officeDocument/2006/relationships" r:id="rId1"/>
        </xdr:cNvPr>
        <xdr:cNvSpPr/>
      </xdr:nvSpPr>
      <xdr:spPr>
        <a:xfrm>
          <a:off x="11230127400" y="466725"/>
          <a:ext cx="1390650" cy="628650"/>
        </a:xfrm>
        <a:prstGeom prst="round2Diag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محاسبات</a:t>
          </a:r>
          <a:r>
            <a:rPr lang="fa-IR" sz="1200" baseline="0">
              <a:cs typeface="B Homa" panose="00000400000000000000" pitchFamily="2" charset="-78"/>
            </a:rPr>
            <a:t> آزمون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6</xdr:col>
      <xdr:colOff>504825</xdr:colOff>
      <xdr:row>7</xdr:row>
      <xdr:rowOff>133350</xdr:rowOff>
    </xdr:from>
    <xdr:to>
      <xdr:col>8</xdr:col>
      <xdr:colOff>523875</xdr:colOff>
      <xdr:row>11</xdr:row>
      <xdr:rowOff>38100</xdr:rowOff>
    </xdr:to>
    <xdr:sp macro="" textlink="">
      <xdr:nvSpPr>
        <xdr:cNvPr id="3" name="Round Diagonal Corner Rectangle 2">
          <a:hlinkClick xmlns:r="http://schemas.openxmlformats.org/officeDocument/2006/relationships" r:id="rId2"/>
        </xdr:cNvPr>
        <xdr:cNvSpPr/>
      </xdr:nvSpPr>
      <xdr:spPr>
        <a:xfrm>
          <a:off x="11230136925" y="1400175"/>
          <a:ext cx="1390650" cy="628650"/>
        </a:xfrm>
        <a:prstGeom prst="round2Diag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جداول گاز</a:t>
          </a:r>
        </a:p>
      </xdr:txBody>
    </xdr:sp>
    <xdr:clientData/>
  </xdr:twoCellAnchor>
  <xdr:twoCellAnchor>
    <xdr:from>
      <xdr:col>6</xdr:col>
      <xdr:colOff>533400</xdr:colOff>
      <xdr:row>13</xdr:row>
      <xdr:rowOff>0</xdr:rowOff>
    </xdr:from>
    <xdr:to>
      <xdr:col>8</xdr:col>
      <xdr:colOff>552450</xdr:colOff>
      <xdr:row>16</xdr:row>
      <xdr:rowOff>85725</xdr:rowOff>
    </xdr:to>
    <xdr:sp macro="" textlink="">
      <xdr:nvSpPr>
        <xdr:cNvPr id="4" name="Round Diagonal Corner Rectangle 3"/>
        <xdr:cNvSpPr/>
      </xdr:nvSpPr>
      <xdr:spPr>
        <a:xfrm>
          <a:off x="11230108350" y="2352675"/>
          <a:ext cx="1390650" cy="628650"/>
        </a:xfrm>
        <a:prstGeom prst="round2Diag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کتابخانه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95250</xdr:rowOff>
    </xdr:from>
    <xdr:to>
      <xdr:col>11</xdr:col>
      <xdr:colOff>238125</xdr:colOff>
      <xdr:row>2</xdr:row>
      <xdr:rowOff>238125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7776440825" y="20002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180974</xdr:rowOff>
    </xdr:from>
    <xdr:to>
      <xdr:col>8</xdr:col>
      <xdr:colOff>38100</xdr:colOff>
      <xdr:row>6</xdr:row>
      <xdr:rowOff>57150</xdr:rowOff>
    </xdr:to>
    <xdr:sp macro="" textlink="">
      <xdr:nvSpPr>
        <xdr:cNvPr id="2" name="Round Diagonal Corner Rectangle 1">
          <a:hlinkClick xmlns:r="http://schemas.openxmlformats.org/officeDocument/2006/relationships" r:id="rId1"/>
        </xdr:cNvPr>
        <xdr:cNvSpPr/>
      </xdr:nvSpPr>
      <xdr:spPr>
        <a:xfrm>
          <a:off x="11230622700" y="542924"/>
          <a:ext cx="2076450" cy="600076"/>
        </a:xfrm>
        <a:prstGeom prst="round2Diag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محاسبات</a:t>
          </a:r>
          <a:r>
            <a:rPr lang="fa-IR" sz="1200" baseline="0">
              <a:cs typeface="B Homa" panose="00000400000000000000" pitchFamily="2" charset="-78"/>
            </a:rPr>
            <a:t> وسایل پخت و پز خانگی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5</xdr:col>
      <xdr:colOff>28575</xdr:colOff>
      <xdr:row>7</xdr:row>
      <xdr:rowOff>171449</xdr:rowOff>
    </xdr:from>
    <xdr:to>
      <xdr:col>8</xdr:col>
      <xdr:colOff>47625</xdr:colOff>
      <xdr:row>11</xdr:row>
      <xdr:rowOff>47625</xdr:rowOff>
    </xdr:to>
    <xdr:sp macro="" textlink="">
      <xdr:nvSpPr>
        <xdr:cNvPr id="3" name="Round Diagonal Corner Rectangle 2">
          <a:hlinkClick xmlns:r="http://schemas.openxmlformats.org/officeDocument/2006/relationships" r:id="rId2"/>
        </xdr:cNvPr>
        <xdr:cNvSpPr/>
      </xdr:nvSpPr>
      <xdr:spPr>
        <a:xfrm>
          <a:off x="11230613175" y="1438274"/>
          <a:ext cx="2076450" cy="600076"/>
        </a:xfrm>
        <a:prstGeom prst="round2Diag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محاسبات</a:t>
          </a:r>
          <a:r>
            <a:rPr lang="fa-IR" sz="1200" baseline="0">
              <a:cs typeface="B Homa" panose="00000400000000000000" pitchFamily="2" charset="-78"/>
            </a:rPr>
            <a:t> وسایل پخت و پز صنعتی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5</xdr:col>
      <xdr:colOff>28575</xdr:colOff>
      <xdr:row>12</xdr:row>
      <xdr:rowOff>161925</xdr:rowOff>
    </xdr:from>
    <xdr:to>
      <xdr:col>8</xdr:col>
      <xdr:colOff>47625</xdr:colOff>
      <xdr:row>16</xdr:row>
      <xdr:rowOff>38101</xdr:rowOff>
    </xdr:to>
    <xdr:sp macro="" textlink="">
      <xdr:nvSpPr>
        <xdr:cNvPr id="4" name="Round Diagonal Corner Rectangle 3">
          <a:hlinkClick xmlns:r="http://schemas.openxmlformats.org/officeDocument/2006/relationships" r:id="rId3"/>
        </xdr:cNvPr>
        <xdr:cNvSpPr/>
      </xdr:nvSpPr>
      <xdr:spPr>
        <a:xfrm>
          <a:off x="11230613175" y="2333625"/>
          <a:ext cx="2076450" cy="600076"/>
        </a:xfrm>
        <a:prstGeom prst="round2Diag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محاسبات</a:t>
          </a:r>
          <a:r>
            <a:rPr lang="fa-IR" sz="1200" baseline="0">
              <a:cs typeface="B Homa" panose="00000400000000000000" pitchFamily="2" charset="-78"/>
            </a:rPr>
            <a:t> سماور گازی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10</xdr:col>
      <xdr:colOff>0</xdr:colOff>
      <xdr:row>3</xdr:row>
      <xdr:rowOff>9525</xdr:rowOff>
    </xdr:from>
    <xdr:to>
      <xdr:col>11</xdr:col>
      <xdr:colOff>276225</xdr:colOff>
      <xdr:row>6</xdr:row>
      <xdr:rowOff>9525</xdr:rowOff>
    </xdr:to>
    <xdr:sp macro="" textlink="">
      <xdr:nvSpPr>
        <xdr:cNvPr id="6" name="Round Same Side Corner Rectangle 5">
          <a:hlinkClick xmlns:r="http://schemas.openxmlformats.org/officeDocument/2006/relationships" r:id="rId4"/>
        </xdr:cNvPr>
        <xdr:cNvSpPr/>
      </xdr:nvSpPr>
      <xdr:spPr>
        <a:xfrm>
          <a:off x="11228327175" y="5524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28575</xdr:rowOff>
    </xdr:from>
    <xdr:to>
      <xdr:col>6</xdr:col>
      <xdr:colOff>19050</xdr:colOff>
      <xdr:row>5</xdr:row>
      <xdr:rowOff>85726</xdr:rowOff>
    </xdr:to>
    <xdr:sp macro="" textlink="">
      <xdr:nvSpPr>
        <xdr:cNvPr id="2" name="Round Diagonal Corner Rectangle 1">
          <a:hlinkClick xmlns:r="http://schemas.openxmlformats.org/officeDocument/2006/relationships" r:id="rId1"/>
        </xdr:cNvPr>
        <xdr:cNvSpPr/>
      </xdr:nvSpPr>
      <xdr:spPr>
        <a:xfrm>
          <a:off x="11232013350" y="3905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بازده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6</xdr:col>
      <xdr:colOff>19050</xdr:colOff>
      <xdr:row>10</xdr:row>
      <xdr:rowOff>66676</xdr:rowOff>
    </xdr:to>
    <xdr:sp macro="" textlink="">
      <xdr:nvSpPr>
        <xdr:cNvPr id="3" name="Round Diagonal Corner Rectangle 2">
          <a:hlinkClick xmlns:r="http://schemas.openxmlformats.org/officeDocument/2006/relationships" r:id="rId2"/>
        </xdr:cNvPr>
        <xdr:cNvSpPr/>
      </xdr:nvSpPr>
      <xdr:spPr>
        <a:xfrm>
          <a:off x="11232013350" y="1276350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توان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2</xdr:col>
      <xdr:colOff>647700</xdr:colOff>
      <xdr:row>17</xdr:row>
      <xdr:rowOff>0</xdr:rowOff>
    </xdr:from>
    <xdr:to>
      <xdr:col>5</xdr:col>
      <xdr:colOff>666750</xdr:colOff>
      <xdr:row>20</xdr:row>
      <xdr:rowOff>57151</xdr:rowOff>
    </xdr:to>
    <xdr:sp macro="" textlink="">
      <xdr:nvSpPr>
        <xdr:cNvPr id="4" name="Round Diagonal Corner Rectangle 3">
          <a:hlinkClick xmlns:r="http://schemas.openxmlformats.org/officeDocument/2006/relationships" r:id="rId3"/>
        </xdr:cNvPr>
        <xdr:cNvSpPr/>
      </xdr:nvSpPr>
      <xdr:spPr>
        <a:xfrm>
          <a:off x="11232051450" y="30765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گذر</a:t>
          </a:r>
          <a:r>
            <a:rPr lang="fa-IR" sz="1200" baseline="0">
              <a:cs typeface="B Homa" panose="00000400000000000000" pitchFamily="2" charset="-78"/>
            </a:rPr>
            <a:t> حجمی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2</xdr:col>
      <xdr:colOff>638175</xdr:colOff>
      <xdr:row>21</xdr:row>
      <xdr:rowOff>171450</xdr:rowOff>
    </xdr:from>
    <xdr:to>
      <xdr:col>5</xdr:col>
      <xdr:colOff>657225</xdr:colOff>
      <xdr:row>25</xdr:row>
      <xdr:rowOff>47626</xdr:rowOff>
    </xdr:to>
    <xdr:sp macro="" textlink="">
      <xdr:nvSpPr>
        <xdr:cNvPr id="5" name="Round Diagonal Corner Rectangle 4">
          <a:hlinkClick xmlns:r="http://schemas.openxmlformats.org/officeDocument/2006/relationships" r:id="rId4"/>
        </xdr:cNvPr>
        <xdr:cNvSpPr/>
      </xdr:nvSpPr>
      <xdr:spPr>
        <a:xfrm>
          <a:off x="11232060975" y="39719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توان حرارتی</a:t>
          </a:r>
        </a:p>
      </xdr:txBody>
    </xdr:sp>
    <xdr:clientData/>
  </xdr:twoCellAnchor>
  <xdr:twoCellAnchor>
    <xdr:from>
      <xdr:col>6</xdr:col>
      <xdr:colOff>638175</xdr:colOff>
      <xdr:row>7</xdr:row>
      <xdr:rowOff>28575</xdr:rowOff>
    </xdr:from>
    <xdr:to>
      <xdr:col>9</xdr:col>
      <xdr:colOff>657225</xdr:colOff>
      <xdr:row>10</xdr:row>
      <xdr:rowOff>85726</xdr:rowOff>
    </xdr:to>
    <xdr:sp macro="" textlink="">
      <xdr:nvSpPr>
        <xdr:cNvPr id="6" name="Round Diagonal Corner Rectangle 5">
          <a:hlinkClick xmlns:r="http://schemas.openxmlformats.org/officeDocument/2006/relationships" r:id="rId5"/>
        </xdr:cNvPr>
        <xdr:cNvSpPr/>
      </xdr:nvSpPr>
      <xdr:spPr>
        <a:xfrm>
          <a:off x="11229317775" y="1295400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بازده حرارتی</a:t>
          </a:r>
        </a:p>
      </xdr:txBody>
    </xdr:sp>
    <xdr:clientData/>
  </xdr:twoCellAnchor>
  <xdr:twoCellAnchor>
    <xdr:from>
      <xdr:col>3</xdr:col>
      <xdr:colOff>19050</xdr:colOff>
      <xdr:row>12</xdr:row>
      <xdr:rowOff>0</xdr:rowOff>
    </xdr:from>
    <xdr:to>
      <xdr:col>6</xdr:col>
      <xdr:colOff>38100</xdr:colOff>
      <xdr:row>15</xdr:row>
      <xdr:rowOff>57151</xdr:rowOff>
    </xdr:to>
    <xdr:sp macro="" textlink="">
      <xdr:nvSpPr>
        <xdr:cNvPr id="7" name="Round Diagonal Corner Rectangle 6">
          <a:hlinkClick xmlns:r="http://schemas.openxmlformats.org/officeDocument/2006/relationships" r:id="rId6"/>
        </xdr:cNvPr>
        <xdr:cNvSpPr/>
      </xdr:nvSpPr>
      <xdr:spPr>
        <a:xfrm>
          <a:off x="11231994300" y="2171700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فشار جزیی بخار آب</a:t>
          </a:r>
        </a:p>
      </xdr:txBody>
    </xdr:sp>
    <xdr:clientData/>
  </xdr:twoCellAnchor>
  <xdr:twoCellAnchor>
    <xdr:from>
      <xdr:col>11</xdr:col>
      <xdr:colOff>476250</xdr:colOff>
      <xdr:row>1</xdr:row>
      <xdr:rowOff>161925</xdr:rowOff>
    </xdr:from>
    <xdr:to>
      <xdr:col>13</xdr:col>
      <xdr:colOff>66675</xdr:colOff>
      <xdr:row>4</xdr:row>
      <xdr:rowOff>161925</xdr:rowOff>
    </xdr:to>
    <xdr:sp macro="" textlink="">
      <xdr:nvSpPr>
        <xdr:cNvPr id="9" name="Round Same Side Corner Rectangle 8">
          <a:hlinkClick xmlns:r="http://schemas.openxmlformats.org/officeDocument/2006/relationships" r:id="rId7"/>
        </xdr:cNvPr>
        <xdr:cNvSpPr/>
      </xdr:nvSpPr>
      <xdr:spPr>
        <a:xfrm>
          <a:off x="11227165125" y="34290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  <xdr:twoCellAnchor>
    <xdr:from>
      <xdr:col>6</xdr:col>
      <xdr:colOff>619125</xdr:colOff>
      <xdr:row>1</xdr:row>
      <xdr:rowOff>171450</xdr:rowOff>
    </xdr:from>
    <xdr:to>
      <xdr:col>9</xdr:col>
      <xdr:colOff>638175</xdr:colOff>
      <xdr:row>5</xdr:row>
      <xdr:rowOff>47626</xdr:rowOff>
    </xdr:to>
    <xdr:sp macro="" textlink="">
      <xdr:nvSpPr>
        <xdr:cNvPr id="10" name="Round Diagonal Corner Rectangle 9">
          <a:hlinkClick xmlns:r="http://schemas.openxmlformats.org/officeDocument/2006/relationships" r:id="rId8"/>
        </xdr:cNvPr>
        <xdr:cNvSpPr/>
      </xdr:nvSpPr>
      <xdr:spPr>
        <a:xfrm>
          <a:off x="11229336825" y="3524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احتراق</a:t>
          </a:r>
        </a:p>
      </xdr:txBody>
    </xdr:sp>
    <xdr:clientData/>
  </xdr:twoCellAnchor>
  <xdr:twoCellAnchor>
    <xdr:from>
      <xdr:col>6</xdr:col>
      <xdr:colOff>571500</xdr:colOff>
      <xdr:row>12</xdr:row>
      <xdr:rowOff>28575</xdr:rowOff>
    </xdr:from>
    <xdr:to>
      <xdr:col>9</xdr:col>
      <xdr:colOff>590550</xdr:colOff>
      <xdr:row>15</xdr:row>
      <xdr:rowOff>85726</xdr:rowOff>
    </xdr:to>
    <xdr:sp macro="" textlink="">
      <xdr:nvSpPr>
        <xdr:cNvPr id="11" name="Round Diagonal Corner Rectangle 10">
          <a:hlinkClick xmlns:r="http://schemas.openxmlformats.org/officeDocument/2006/relationships" r:id="rId9"/>
        </xdr:cNvPr>
        <xdr:cNvSpPr/>
      </xdr:nvSpPr>
      <xdr:spPr>
        <a:xfrm>
          <a:off x="11229384450" y="22002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مصرف</a:t>
          </a:r>
          <a:r>
            <a:rPr lang="fa-IR" sz="1200" baseline="0">
              <a:cs typeface="B Homa" panose="00000400000000000000" pitchFamily="2" charset="-78"/>
            </a:rPr>
            <a:t> جبرانی فر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6</xdr:col>
      <xdr:colOff>581025</xdr:colOff>
      <xdr:row>17</xdr:row>
      <xdr:rowOff>38100</xdr:rowOff>
    </xdr:from>
    <xdr:to>
      <xdr:col>9</xdr:col>
      <xdr:colOff>600075</xdr:colOff>
      <xdr:row>20</xdr:row>
      <xdr:rowOff>95251</xdr:rowOff>
    </xdr:to>
    <xdr:sp macro="" textlink="">
      <xdr:nvSpPr>
        <xdr:cNvPr id="12" name="Round Diagonal Corner Rectangle 11">
          <a:hlinkClick xmlns:r="http://schemas.openxmlformats.org/officeDocument/2006/relationships" r:id="rId10"/>
        </xdr:cNvPr>
        <xdr:cNvSpPr/>
      </xdr:nvSpPr>
      <xdr:spPr>
        <a:xfrm>
          <a:off x="11229374925" y="31146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گرید</a:t>
          </a:r>
          <a:r>
            <a:rPr lang="fa-IR" sz="1200" baseline="0">
              <a:cs typeface="B Homa" panose="00000400000000000000" pitchFamily="2" charset="-78"/>
            </a:rPr>
            <a:t> صفحه مشعل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28575</xdr:rowOff>
    </xdr:from>
    <xdr:to>
      <xdr:col>6</xdr:col>
      <xdr:colOff>19050</xdr:colOff>
      <xdr:row>5</xdr:row>
      <xdr:rowOff>85726</xdr:rowOff>
    </xdr:to>
    <xdr:sp macro="" textlink="">
      <xdr:nvSpPr>
        <xdr:cNvPr id="2" name="Round Diagonal Corner Rectangle 1">
          <a:hlinkClick xmlns:r="http://schemas.openxmlformats.org/officeDocument/2006/relationships" r:id="rId1"/>
        </xdr:cNvPr>
        <xdr:cNvSpPr/>
      </xdr:nvSpPr>
      <xdr:spPr>
        <a:xfrm>
          <a:off x="11232013350" y="3905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بازده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6</xdr:col>
      <xdr:colOff>19050</xdr:colOff>
      <xdr:row>10</xdr:row>
      <xdr:rowOff>66676</xdr:rowOff>
    </xdr:to>
    <xdr:sp macro="" textlink="">
      <xdr:nvSpPr>
        <xdr:cNvPr id="3" name="Round Diagonal Corner Rectangle 2">
          <a:hlinkClick xmlns:r="http://schemas.openxmlformats.org/officeDocument/2006/relationships" r:id="rId2"/>
        </xdr:cNvPr>
        <xdr:cNvSpPr/>
      </xdr:nvSpPr>
      <xdr:spPr>
        <a:xfrm>
          <a:off x="11232013350" y="1276350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توان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6</xdr:col>
      <xdr:colOff>28575</xdr:colOff>
      <xdr:row>15</xdr:row>
      <xdr:rowOff>66676</xdr:rowOff>
    </xdr:to>
    <xdr:sp macro="" textlink="">
      <xdr:nvSpPr>
        <xdr:cNvPr id="4" name="Round Diagonal Corner Rectangle 3">
          <a:hlinkClick xmlns:r="http://schemas.openxmlformats.org/officeDocument/2006/relationships" r:id="rId3"/>
        </xdr:cNvPr>
        <xdr:cNvSpPr/>
      </xdr:nvSpPr>
      <xdr:spPr>
        <a:xfrm>
          <a:off x="11232003825" y="21812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گذر</a:t>
          </a:r>
          <a:r>
            <a:rPr lang="fa-IR" sz="1200" baseline="0">
              <a:cs typeface="B Homa" panose="00000400000000000000" pitchFamily="2" charset="-78"/>
            </a:rPr>
            <a:t> حجمی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6</xdr:col>
      <xdr:colOff>19050</xdr:colOff>
      <xdr:row>20</xdr:row>
      <xdr:rowOff>57151</xdr:rowOff>
    </xdr:to>
    <xdr:sp macro="" textlink="">
      <xdr:nvSpPr>
        <xdr:cNvPr id="5" name="Round Diagonal Corner Rectangle 4">
          <a:hlinkClick xmlns:r="http://schemas.openxmlformats.org/officeDocument/2006/relationships" r:id="rId4"/>
        </xdr:cNvPr>
        <xdr:cNvSpPr/>
      </xdr:nvSpPr>
      <xdr:spPr>
        <a:xfrm>
          <a:off x="11232013350" y="30765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توان حرارتی</a:t>
          </a:r>
        </a:p>
      </xdr:txBody>
    </xdr:sp>
    <xdr:clientData/>
  </xdr:twoCellAnchor>
  <xdr:twoCellAnchor>
    <xdr:from>
      <xdr:col>6</xdr:col>
      <xdr:colOff>676275</xdr:colOff>
      <xdr:row>2</xdr:row>
      <xdr:rowOff>9525</xdr:rowOff>
    </xdr:from>
    <xdr:to>
      <xdr:col>10</xdr:col>
      <xdr:colOff>9525</xdr:colOff>
      <xdr:row>5</xdr:row>
      <xdr:rowOff>66676</xdr:rowOff>
    </xdr:to>
    <xdr:sp macro="" textlink="">
      <xdr:nvSpPr>
        <xdr:cNvPr id="6" name="Round Diagonal Corner Rectangle 5">
          <a:hlinkClick xmlns:r="http://schemas.openxmlformats.org/officeDocument/2006/relationships" r:id="rId5"/>
        </xdr:cNvPr>
        <xdr:cNvSpPr/>
      </xdr:nvSpPr>
      <xdr:spPr>
        <a:xfrm>
          <a:off x="11229279675" y="3714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بازده حرارتی</a:t>
          </a:r>
        </a:p>
      </xdr:txBody>
    </xdr:sp>
    <xdr:clientData/>
  </xdr:twoCellAnchor>
  <xdr:twoCellAnchor>
    <xdr:from>
      <xdr:col>7</xdr:col>
      <xdr:colOff>0</xdr:colOff>
      <xdr:row>7</xdr:row>
      <xdr:rowOff>19050</xdr:rowOff>
    </xdr:from>
    <xdr:to>
      <xdr:col>10</xdr:col>
      <xdr:colOff>19050</xdr:colOff>
      <xdr:row>10</xdr:row>
      <xdr:rowOff>76201</xdr:rowOff>
    </xdr:to>
    <xdr:sp macro="" textlink="">
      <xdr:nvSpPr>
        <xdr:cNvPr id="7" name="Round Diagonal Corner Rectangle 6">
          <a:hlinkClick xmlns:r="http://schemas.openxmlformats.org/officeDocument/2006/relationships" r:id="rId6"/>
        </xdr:cNvPr>
        <xdr:cNvSpPr/>
      </xdr:nvSpPr>
      <xdr:spPr>
        <a:xfrm>
          <a:off x="11229270150" y="12858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فشار جزیی بخار آب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276225</xdr:colOff>
      <xdr:row>5</xdr:row>
      <xdr:rowOff>0</xdr:rowOff>
    </xdr:to>
    <xdr:sp macro="" textlink="">
      <xdr:nvSpPr>
        <xdr:cNvPr id="9" name="Round Same Side Corner Rectangle 8">
          <a:hlinkClick xmlns:r="http://schemas.openxmlformats.org/officeDocument/2006/relationships" r:id="rId7"/>
        </xdr:cNvPr>
        <xdr:cNvSpPr/>
      </xdr:nvSpPr>
      <xdr:spPr>
        <a:xfrm>
          <a:off x="11226955575" y="3619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10</xdr:col>
      <xdr:colOff>19050</xdr:colOff>
      <xdr:row>16</xdr:row>
      <xdr:rowOff>57151</xdr:rowOff>
    </xdr:to>
    <xdr:sp macro="" textlink="">
      <xdr:nvSpPr>
        <xdr:cNvPr id="10" name="Round Diagonal Corner Rectangle 9">
          <a:hlinkClick xmlns:r="http://schemas.openxmlformats.org/officeDocument/2006/relationships" r:id="rId8"/>
        </xdr:cNvPr>
        <xdr:cNvSpPr/>
      </xdr:nvSpPr>
      <xdr:spPr>
        <a:xfrm>
          <a:off x="11229270150" y="23526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احتراق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28575</xdr:rowOff>
    </xdr:from>
    <xdr:to>
      <xdr:col>6</xdr:col>
      <xdr:colOff>19050</xdr:colOff>
      <xdr:row>5</xdr:row>
      <xdr:rowOff>85726</xdr:rowOff>
    </xdr:to>
    <xdr:sp macro="" textlink="">
      <xdr:nvSpPr>
        <xdr:cNvPr id="2" name="Round Diagonal Corner Rectangle 1">
          <a:hlinkClick xmlns:r="http://schemas.openxmlformats.org/officeDocument/2006/relationships" r:id="rId1"/>
        </xdr:cNvPr>
        <xdr:cNvSpPr/>
      </xdr:nvSpPr>
      <xdr:spPr>
        <a:xfrm>
          <a:off x="11232013350" y="3905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بازده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6</xdr:col>
      <xdr:colOff>19050</xdr:colOff>
      <xdr:row>10</xdr:row>
      <xdr:rowOff>66676</xdr:rowOff>
    </xdr:to>
    <xdr:sp macro="" textlink="">
      <xdr:nvSpPr>
        <xdr:cNvPr id="3" name="Round Diagonal Corner Rectangle 2">
          <a:hlinkClick xmlns:r="http://schemas.openxmlformats.org/officeDocument/2006/relationships" r:id="rId2"/>
        </xdr:cNvPr>
        <xdr:cNvSpPr/>
      </xdr:nvSpPr>
      <xdr:spPr>
        <a:xfrm>
          <a:off x="11232013350" y="1276350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ضریب تصحیح</a:t>
          </a:r>
          <a:r>
            <a:rPr lang="fa-IR" sz="1200" baseline="0">
              <a:cs typeface="B Homa" panose="00000400000000000000" pitchFamily="2" charset="-78"/>
            </a:rPr>
            <a:t> توان حرارتی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6</xdr:col>
      <xdr:colOff>28575</xdr:colOff>
      <xdr:row>15</xdr:row>
      <xdr:rowOff>66676</xdr:rowOff>
    </xdr:to>
    <xdr:sp macro="" textlink="">
      <xdr:nvSpPr>
        <xdr:cNvPr id="4" name="Round Diagonal Corner Rectangle 3">
          <a:hlinkClick xmlns:r="http://schemas.openxmlformats.org/officeDocument/2006/relationships" r:id="rId3"/>
        </xdr:cNvPr>
        <xdr:cNvSpPr/>
      </xdr:nvSpPr>
      <xdr:spPr>
        <a:xfrm>
          <a:off x="11232003825" y="218122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گذر</a:t>
          </a:r>
          <a:r>
            <a:rPr lang="fa-IR" sz="1200" baseline="0">
              <a:cs typeface="B Homa" panose="00000400000000000000" pitchFamily="2" charset="-78"/>
            </a:rPr>
            <a:t> حجمی</a:t>
          </a:r>
          <a:endParaRPr lang="fa-IR" sz="1200">
            <a:cs typeface="B Homa" panose="00000400000000000000" pitchFamily="2" charset="-78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6</xdr:col>
      <xdr:colOff>19050</xdr:colOff>
      <xdr:row>20</xdr:row>
      <xdr:rowOff>57151</xdr:rowOff>
    </xdr:to>
    <xdr:sp macro="" textlink="">
      <xdr:nvSpPr>
        <xdr:cNvPr id="5" name="Round Diagonal Corner Rectangle 4">
          <a:hlinkClick xmlns:r="http://schemas.openxmlformats.org/officeDocument/2006/relationships" r:id="rId4"/>
        </xdr:cNvPr>
        <xdr:cNvSpPr/>
      </xdr:nvSpPr>
      <xdr:spPr>
        <a:xfrm>
          <a:off x="11232013350" y="30765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توان حرارتی</a:t>
          </a:r>
        </a:p>
      </xdr:txBody>
    </xdr:sp>
    <xdr:clientData/>
  </xdr:twoCellAnchor>
  <xdr:twoCellAnchor>
    <xdr:from>
      <xdr:col>6</xdr:col>
      <xdr:colOff>676275</xdr:colOff>
      <xdr:row>2</xdr:row>
      <xdr:rowOff>9525</xdr:rowOff>
    </xdr:from>
    <xdr:to>
      <xdr:col>10</xdr:col>
      <xdr:colOff>9525</xdr:colOff>
      <xdr:row>5</xdr:row>
      <xdr:rowOff>66676</xdr:rowOff>
    </xdr:to>
    <xdr:sp macro="" textlink="">
      <xdr:nvSpPr>
        <xdr:cNvPr id="6" name="Round Diagonal Corner Rectangle 5">
          <a:hlinkClick xmlns:r="http://schemas.openxmlformats.org/officeDocument/2006/relationships" r:id="rId5"/>
        </xdr:cNvPr>
        <xdr:cNvSpPr/>
      </xdr:nvSpPr>
      <xdr:spPr>
        <a:xfrm>
          <a:off x="11229279675" y="3714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بازده حرارتی</a:t>
          </a:r>
        </a:p>
      </xdr:txBody>
    </xdr:sp>
    <xdr:clientData/>
  </xdr:twoCellAnchor>
  <xdr:twoCellAnchor>
    <xdr:from>
      <xdr:col>7</xdr:col>
      <xdr:colOff>0</xdr:colOff>
      <xdr:row>7</xdr:row>
      <xdr:rowOff>19050</xdr:rowOff>
    </xdr:from>
    <xdr:to>
      <xdr:col>10</xdr:col>
      <xdr:colOff>19050</xdr:colOff>
      <xdr:row>10</xdr:row>
      <xdr:rowOff>76201</xdr:rowOff>
    </xdr:to>
    <xdr:sp macro="" textlink="">
      <xdr:nvSpPr>
        <xdr:cNvPr id="7" name="Round Diagonal Corner Rectangle 6">
          <a:hlinkClick xmlns:r="http://schemas.openxmlformats.org/officeDocument/2006/relationships" r:id="rId6"/>
        </xdr:cNvPr>
        <xdr:cNvSpPr/>
      </xdr:nvSpPr>
      <xdr:spPr>
        <a:xfrm>
          <a:off x="11229270150" y="12858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فشار جزیی بخار آب</a:t>
          </a:r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276225</xdr:colOff>
      <xdr:row>5</xdr:row>
      <xdr:rowOff>0</xdr:rowOff>
    </xdr:to>
    <xdr:sp macro="" textlink="">
      <xdr:nvSpPr>
        <xdr:cNvPr id="8" name="Round Same Side Corner Rectangle 7">
          <a:hlinkClick xmlns:r="http://schemas.openxmlformats.org/officeDocument/2006/relationships" r:id="rId7"/>
        </xdr:cNvPr>
        <xdr:cNvSpPr/>
      </xdr:nvSpPr>
      <xdr:spPr>
        <a:xfrm>
          <a:off x="11226269775" y="36195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10</xdr:col>
      <xdr:colOff>19050</xdr:colOff>
      <xdr:row>16</xdr:row>
      <xdr:rowOff>57151</xdr:rowOff>
    </xdr:to>
    <xdr:sp macro="" textlink="">
      <xdr:nvSpPr>
        <xdr:cNvPr id="9" name="Round Diagonal Corner Rectangle 8">
          <a:hlinkClick xmlns:r="http://schemas.openxmlformats.org/officeDocument/2006/relationships" r:id="rId8"/>
        </xdr:cNvPr>
        <xdr:cNvSpPr/>
      </xdr:nvSpPr>
      <xdr:spPr>
        <a:xfrm>
          <a:off x="11229270150" y="2352675"/>
          <a:ext cx="2076450" cy="600076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200">
              <a:cs typeface="B Homa" panose="00000400000000000000" pitchFamily="2" charset="-78"/>
            </a:rPr>
            <a:t>احتراق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15</xdr:col>
      <xdr:colOff>276225</xdr:colOff>
      <xdr:row>4</xdr:row>
      <xdr:rowOff>47625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583975" y="18097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0</xdr:row>
      <xdr:rowOff>161925</xdr:rowOff>
    </xdr:from>
    <xdr:to>
      <xdr:col>15</xdr:col>
      <xdr:colOff>19050</xdr:colOff>
      <xdr:row>4</xdr:row>
      <xdr:rowOff>28575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841150" y="161925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666750</xdr:colOff>
      <xdr:row>2</xdr:row>
      <xdr:rowOff>9525</xdr:rowOff>
    </xdr:from>
    <xdr:to>
      <xdr:col>15</xdr:col>
      <xdr:colOff>257175</xdr:colOff>
      <xdr:row>4</xdr:row>
      <xdr:rowOff>57150</xdr:rowOff>
    </xdr:to>
    <xdr:sp macro="" textlink="">
      <xdr:nvSpPr>
        <xdr:cNvPr id="2" name="Round Same Side Corner Rectangle 1">
          <a:hlinkClick xmlns:r="http://schemas.openxmlformats.org/officeDocument/2006/relationships" r:id="rId1"/>
        </xdr:cNvPr>
        <xdr:cNvSpPr/>
      </xdr:nvSpPr>
      <xdr:spPr>
        <a:xfrm>
          <a:off x="11225603025" y="190500"/>
          <a:ext cx="962025" cy="542925"/>
        </a:xfrm>
        <a:prstGeom prst="round2Same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fa-IR" sz="1100">
              <a:cs typeface="B Titr" panose="00000700000000000000" pitchFamily="2" charset="-78"/>
            </a:rPr>
            <a:t>بازگشت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\Desktop\SIT\&#1605;&#1581;&#1575;&#1587;&#1576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ضریب تصحیح توان"/>
      <sheetName val="ضریب تصحیح بازده حرارتی"/>
      <sheetName val="گذر حجمی - دبی"/>
      <sheetName val="توان حرارتی"/>
      <sheetName val="بازده حرارتی"/>
      <sheetName val="احتراق"/>
      <sheetName val="گرید مصرف انرژی"/>
      <sheetName val="مصرف جبرانی فر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0">
          <cell r="E30">
            <v>60.029096580347819</v>
          </cell>
        </row>
      </sheetData>
      <sheetData sheetId="7">
        <row r="28">
          <cell r="I28">
            <v>59.806043956460009</v>
          </cell>
        </row>
      </sheetData>
      <sheetData sheetId="8">
        <row r="5">
          <cell r="B5" t="str">
            <v>طبیعی</v>
          </cell>
          <cell r="C5" t="str">
            <v>G20</v>
          </cell>
          <cell r="D5" t="str">
            <v>متان</v>
          </cell>
          <cell r="E5">
            <v>0.55500000000000005</v>
          </cell>
          <cell r="F5">
            <v>37.78</v>
          </cell>
          <cell r="G5">
            <v>34.020000000000003</v>
          </cell>
          <cell r="H5">
            <v>20</v>
          </cell>
          <cell r="I5">
            <v>11.7</v>
          </cell>
        </row>
        <row r="6">
          <cell r="B6" t="str">
            <v>مایع</v>
          </cell>
          <cell r="C6" t="str">
            <v>G31</v>
          </cell>
          <cell r="D6" t="str">
            <v>پروپان</v>
          </cell>
          <cell r="E6">
            <v>1.5529999999999999</v>
          </cell>
          <cell r="F6">
            <v>95.8</v>
          </cell>
          <cell r="G6">
            <v>88</v>
          </cell>
          <cell r="H6">
            <v>29</v>
          </cell>
          <cell r="I6">
            <v>13.7</v>
          </cell>
        </row>
        <row r="10">
          <cell r="E10" t="b">
            <v>0</v>
          </cell>
          <cell r="F10">
            <v>37.78</v>
          </cell>
        </row>
        <row r="11">
          <cell r="E11" t="b">
            <v>0</v>
          </cell>
          <cell r="F11">
            <v>34.020000000000003</v>
          </cell>
        </row>
        <row r="12">
          <cell r="E12" t="b">
            <v>0</v>
          </cell>
          <cell r="F12">
            <v>95.8</v>
          </cell>
        </row>
        <row r="13">
          <cell r="E13" t="b">
            <v>1</v>
          </cell>
          <cell r="F13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"/>
  <sheetViews>
    <sheetView showGridLines="0" showRowColHeaders="0" rightToLeft="1" tabSelected="1" workbookViewId="0">
      <selection activeCell="N9" sqref="N9"/>
    </sheetView>
  </sheetViews>
  <sheetFormatPr defaultRowHeight="14.25"/>
  <sheetData>
    <row r="4" spans="10:10">
      <c r="J4" s="87"/>
    </row>
  </sheetData>
  <pageMargins left="0.7" right="0.7" top="0.75" bottom="0.75" header="0.3" footer="0.3"/>
  <pageSetup paperSize="9" orientation="portrait" verticalDpi="0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showGridLines="0" showRowColHeaders="0" rightToLeft="1" workbookViewId="0">
      <selection activeCell="P11" sqref="P11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4"/>
      <c r="K4" s="5">
        <f>IF(B4="","",VLOOKUP(B4,data!B5:I6,7))</f>
        <v>20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8</v>
      </c>
      <c r="F7" s="110">
        <f>VLOOKUP(TRUE,data!K35:L38,2,FALSE)</f>
        <v>34.020000000000003</v>
      </c>
      <c r="G7" s="111"/>
      <c r="H7" s="112"/>
    </row>
    <row r="8" spans="1:15">
      <c r="O8" t="s">
        <v>9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O9" t="s">
        <v>8</v>
      </c>
    </row>
    <row r="11" spans="1:15" ht="26.25">
      <c r="B11" s="101" t="s">
        <v>10</v>
      </c>
      <c r="C11" s="101"/>
      <c r="D11" s="101"/>
      <c r="F11" s="113">
        <v>850</v>
      </c>
      <c r="G11" s="114"/>
      <c r="H11" s="115"/>
      <c r="J11" s="105" t="s">
        <v>52</v>
      </c>
      <c r="K11" s="105"/>
      <c r="L11" s="105"/>
    </row>
    <row r="13" spans="1:15" ht="26.25">
      <c r="B13" s="101" t="s">
        <v>53</v>
      </c>
      <c r="C13" s="101"/>
      <c r="D13" s="101"/>
      <c r="F13" s="113">
        <v>0</v>
      </c>
      <c r="G13" s="114"/>
      <c r="H13" s="115"/>
      <c r="J13" s="116">
        <f>EXP(21.094-(5262/(273.15+F15)))</f>
        <v>31.348471838613449</v>
      </c>
      <c r="K13" s="117"/>
      <c r="L13" s="118"/>
    </row>
    <row r="15" spans="1:15" ht="26.25">
      <c r="B15" s="101" t="s">
        <v>11</v>
      </c>
      <c r="C15" s="101"/>
      <c r="D15" s="101"/>
      <c r="F15" s="113">
        <v>25</v>
      </c>
      <c r="G15" s="114"/>
      <c r="H15" s="115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8" spans="6:8" ht="22.5">
      <c r="F18" s="105" t="s">
        <v>54</v>
      </c>
      <c r="G18" s="105"/>
      <c r="H18" s="105"/>
    </row>
    <row r="20" spans="6:8" ht="18">
      <c r="F20" s="106">
        <f>((F11+K4-F13)/1013.25)*(288.15/(273.15+F15))</f>
        <v>0.82982487739282451</v>
      </c>
      <c r="G20" s="107"/>
      <c r="H20" s="108"/>
    </row>
  </sheetData>
  <mergeCells count="12">
    <mergeCell ref="F18:H18"/>
    <mergeCell ref="F20:H20"/>
    <mergeCell ref="F6:H6"/>
    <mergeCell ref="F7:H7"/>
    <mergeCell ref="B11:D11"/>
    <mergeCell ref="F11:H11"/>
    <mergeCell ref="J11:L11"/>
    <mergeCell ref="B13:D13"/>
    <mergeCell ref="F13:H13"/>
    <mergeCell ref="J13:L13"/>
    <mergeCell ref="B15:D15"/>
    <mergeCell ref="F15:H15"/>
  </mergeCells>
  <dataValidations count="2">
    <dataValidation allowBlank="1" promptTitle="نوع وسیله گاز " prompt="لطفا نوع وسیله گاز سوز انتخاب گردد" sqref="B7"/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showRowColHeaders="0" rightToLeft="1" topLeftCell="A9" workbookViewId="0"/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1" spans="1:15" hidden="1"/>
    <row r="2" spans="1:15" hidden="1"/>
    <row r="3" spans="1:15" ht="21" hidden="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 hidden="1">
      <c r="B4" s="3" t="s">
        <v>5</v>
      </c>
      <c r="C4" s="4"/>
      <c r="D4" s="4"/>
      <c r="E4" s="5" t="str">
        <f>IF(B4="","",VLOOKUP(B4,[1]data!B5:I6,2))</f>
        <v>G20</v>
      </c>
      <c r="F4" s="4"/>
      <c r="G4" s="4"/>
      <c r="H4" s="5">
        <f>IF(B4="","",VLOOKUP(B4,[1]data!B5:I6,4))</f>
        <v>0.55500000000000005</v>
      </c>
      <c r="I4" s="4"/>
      <c r="J4" s="4"/>
      <c r="K4" s="5">
        <f>IF(B4="","",VLOOKUP(B4,[1]data!B5:I6,7))</f>
        <v>20</v>
      </c>
      <c r="O4" t="s">
        <v>5</v>
      </c>
    </row>
    <row r="5" spans="1:15" hidden="1">
      <c r="O5" t="s">
        <v>4</v>
      </c>
    </row>
    <row r="6" spans="1:15" ht="21" hidden="1">
      <c r="B6" s="1" t="s">
        <v>6</v>
      </c>
      <c r="F6" s="109" t="s">
        <v>7</v>
      </c>
      <c r="G6" s="109"/>
      <c r="H6" s="109"/>
    </row>
    <row r="7" spans="1:15" ht="18" hidden="1">
      <c r="B7" s="3" t="s">
        <v>8</v>
      </c>
      <c r="F7" s="110">
        <f>VLOOKUP(TRUE,[1]data!E10:F13,2,FALSE)</f>
        <v>88</v>
      </c>
      <c r="G7" s="111"/>
      <c r="H7" s="112"/>
    </row>
    <row r="8" spans="1:15" hidden="1">
      <c r="O8" t="s">
        <v>9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O9" t="s">
        <v>8</v>
      </c>
    </row>
    <row r="11" spans="1:15" ht="26.25">
      <c r="B11" s="101" t="s">
        <v>57</v>
      </c>
      <c r="C11" s="101"/>
      <c r="D11" s="101"/>
      <c r="F11" s="113">
        <v>200</v>
      </c>
      <c r="G11" s="114"/>
      <c r="H11" s="115"/>
    </row>
    <row r="13" spans="1:15" ht="26.25">
      <c r="B13" s="101" t="s">
        <v>58</v>
      </c>
      <c r="C13" s="101"/>
      <c r="D13" s="101"/>
      <c r="F13" s="113">
        <v>180</v>
      </c>
      <c r="G13" s="114"/>
      <c r="H13" s="115"/>
    </row>
    <row r="15" spans="1:15" ht="26.25">
      <c r="B15" s="101" t="s">
        <v>59</v>
      </c>
      <c r="C15" s="101"/>
      <c r="D15" s="101"/>
      <c r="F15" s="113">
        <v>0.85</v>
      </c>
      <c r="G15" s="114"/>
      <c r="H15" s="115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8" spans="4:11" ht="22.5">
      <c r="D18" s="119" t="s">
        <v>60</v>
      </c>
      <c r="E18" s="119"/>
      <c r="F18" s="119"/>
      <c r="G18" s="14"/>
      <c r="H18" s="14"/>
      <c r="I18" s="119" t="s">
        <v>61</v>
      </c>
      <c r="J18" s="119"/>
      <c r="K18" s="119"/>
    </row>
    <row r="20" spans="4:11" ht="23.25">
      <c r="D20" s="120">
        <f>(((3600*F11)/F13)*F15)/1000</f>
        <v>3.4</v>
      </c>
      <c r="E20" s="121"/>
      <c r="F20" s="122"/>
      <c r="G20" s="15"/>
      <c r="H20" s="15"/>
      <c r="I20" s="123">
        <f>(((3600*F11)/F13)*F15)</f>
        <v>3400</v>
      </c>
      <c r="J20" s="124"/>
      <c r="K20" s="125"/>
    </row>
  </sheetData>
  <mergeCells count="12">
    <mergeCell ref="B15:D15"/>
    <mergeCell ref="F15:H15"/>
    <mergeCell ref="D18:F18"/>
    <mergeCell ref="I18:K18"/>
    <mergeCell ref="D20:F20"/>
    <mergeCell ref="I20:K20"/>
    <mergeCell ref="F6:H6"/>
    <mergeCell ref="F7:H7"/>
    <mergeCell ref="B11:D11"/>
    <mergeCell ref="F11:H11"/>
    <mergeCell ref="B13:D13"/>
    <mergeCell ref="F13:H13"/>
  </mergeCells>
  <dataValidations count="2">
    <dataValidation type="list" allowBlank="1" showInputMessage="1" showErrorMessage="1" promptTitle="نوع وسیله گاز " prompt="لطفا نوع وسیله گاز سوز انتخاب گردد" sqref="B7">
      <formula1>$O$8:$O$10</formula1>
    </dataValidation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showGridLines="0" showRowColHeaders="0" rightToLeft="1" workbookViewId="0">
      <selection activeCell="N15" sqref="N15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4"/>
      <c r="K4" s="5">
        <f>IF(B4="","",VLOOKUP(B4,data!B5:I6,7))</f>
        <v>20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9</v>
      </c>
      <c r="F7" s="110">
        <f>VLOOKUP(TRUE,data!Q10:R13,2,FALSE)</f>
        <v>37.78</v>
      </c>
      <c r="G7" s="111"/>
      <c r="H7" s="112"/>
    </row>
    <row r="8" spans="1:15" ht="18">
      <c r="B8" s="17"/>
      <c r="F8" s="18"/>
      <c r="G8" s="18"/>
      <c r="H8" s="18"/>
    </row>
    <row r="9" spans="1:15" ht="21">
      <c r="B9" s="109" t="s">
        <v>62</v>
      </c>
      <c r="C9" s="109"/>
      <c r="D9" s="109"/>
      <c r="F9" s="19"/>
      <c r="G9" s="19"/>
      <c r="H9" s="109" t="s">
        <v>63</v>
      </c>
      <c r="I9" s="109"/>
      <c r="J9" s="109"/>
    </row>
    <row r="10" spans="1:15" ht="18">
      <c r="B10" s="132">
        <v>2.04</v>
      </c>
      <c r="C10" s="133"/>
      <c r="D10" s="134"/>
      <c r="F10" s="18"/>
      <c r="G10" s="18"/>
      <c r="H10" s="110">
        <f>IF(B10="","",B10*1000)</f>
        <v>2040</v>
      </c>
      <c r="I10" s="111"/>
      <c r="J10" s="112"/>
    </row>
    <row r="11" spans="1:15" ht="18" hidden="1">
      <c r="B11" s="17"/>
      <c r="F11" s="18"/>
      <c r="G11" s="18"/>
      <c r="H11" s="18"/>
    </row>
    <row r="12" spans="1:15">
      <c r="O12" t="s">
        <v>9</v>
      </c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</row>
    <row r="15" spans="1:15" ht="26.25">
      <c r="B15" s="101" t="s">
        <v>64</v>
      </c>
      <c r="C15" s="101"/>
      <c r="D15" s="101"/>
      <c r="F15" s="127">
        <f>0.278*F7*B10</f>
        <v>21.425793600000002</v>
      </c>
      <c r="G15" s="128"/>
      <c r="H15" s="129"/>
    </row>
    <row r="17" spans="1:12" ht="26.25">
      <c r="B17" s="130" t="s">
        <v>65</v>
      </c>
      <c r="C17" s="130"/>
      <c r="D17" s="130"/>
      <c r="F17" s="127">
        <f>859.84*F15</f>
        <v>18422.754369024002</v>
      </c>
      <c r="G17" s="128"/>
      <c r="H17" s="129"/>
    </row>
    <row r="19" spans="1:12" ht="26.25" hidden="1">
      <c r="B19" s="101"/>
      <c r="C19" s="101"/>
      <c r="D19" s="101"/>
      <c r="F19" s="131"/>
      <c r="G19" s="131"/>
      <c r="H19" s="131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2" spans="1:12" ht="22.5">
      <c r="F22" s="105"/>
      <c r="G22" s="105"/>
      <c r="H22" s="105"/>
    </row>
    <row r="24" spans="1:12" ht="18">
      <c r="F24" s="126"/>
      <c r="G24" s="126"/>
      <c r="H24" s="126"/>
    </row>
  </sheetData>
  <mergeCells count="14">
    <mergeCell ref="F6:H6"/>
    <mergeCell ref="F7:H7"/>
    <mergeCell ref="B9:D9"/>
    <mergeCell ref="H9:J9"/>
    <mergeCell ref="B10:D10"/>
    <mergeCell ref="H10:J10"/>
    <mergeCell ref="F22:H22"/>
    <mergeCell ref="F24:H24"/>
    <mergeCell ref="B15:D15"/>
    <mergeCell ref="F15:H15"/>
    <mergeCell ref="B17:D17"/>
    <mergeCell ref="F17:H17"/>
    <mergeCell ref="B19:D19"/>
    <mergeCell ref="F19:H19"/>
  </mergeCells>
  <dataValidations count="3">
    <dataValidation allowBlank="1" showErrorMessage="1" promptTitle="نوع وسیله گاز " prompt="لطفا نوع وسیله گاز سوز انتخاب گردد" sqref="B8:B11"/>
    <dataValidation allowBlank="1" promptTitle="نوع وسیله گاز " prompt="لطفا نوع وسیله گاز سوز انتخاب گردد" sqref="B7"/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showGridLines="0" showRowColHeaders="0" rightToLeft="1" workbookViewId="0">
      <selection activeCell="M14" sqref="M14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4</v>
      </c>
      <c r="C4" s="4"/>
      <c r="D4" s="4"/>
      <c r="E4" s="5" t="str">
        <f>IF(B4="","",VLOOKUP(B4,data!B5:C6,2))</f>
        <v>G31</v>
      </c>
      <c r="F4" s="4"/>
      <c r="G4" s="4"/>
      <c r="H4" s="5">
        <f>IF(B4="","",VLOOKUP(B4,data!B5:E6,4))</f>
        <v>1.5529999999999999</v>
      </c>
      <c r="I4" s="4"/>
      <c r="J4" s="4"/>
      <c r="K4" s="5">
        <f>IF(B4="","",VLOOKUP(B4,data!B5:I6,7))</f>
        <v>29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8</v>
      </c>
      <c r="F7" s="110">
        <f>VLOOKUP(TRUE,data!Q26:R29,2,FALSE)</f>
        <v>88</v>
      </c>
      <c r="G7" s="111"/>
      <c r="H7" s="112"/>
    </row>
    <row r="8" spans="1:15" ht="18">
      <c r="B8" s="17"/>
      <c r="F8" s="18"/>
      <c r="G8" s="18"/>
      <c r="H8" s="18"/>
    </row>
    <row r="9" spans="1:15" ht="21">
      <c r="B9" s="109" t="s">
        <v>62</v>
      </c>
      <c r="C9" s="109"/>
      <c r="D9" s="109"/>
      <c r="F9" s="19"/>
      <c r="G9" s="19"/>
      <c r="H9" s="109" t="s">
        <v>63</v>
      </c>
      <c r="I9" s="109"/>
      <c r="J9" s="109"/>
    </row>
    <row r="10" spans="1:15" ht="18">
      <c r="B10" s="132">
        <v>2.04</v>
      </c>
      <c r="C10" s="133"/>
      <c r="D10" s="134"/>
      <c r="F10" s="18"/>
      <c r="G10" s="18"/>
      <c r="H10" s="110">
        <f>IF(B10="","",B10*1000)</f>
        <v>2040</v>
      </c>
      <c r="I10" s="111"/>
      <c r="J10" s="112"/>
    </row>
    <row r="11" spans="1:15" ht="18" hidden="1">
      <c r="B11" s="17"/>
      <c r="F11" s="18"/>
      <c r="G11" s="18"/>
      <c r="H11" s="18"/>
    </row>
    <row r="12" spans="1:15">
      <c r="O12" t="s">
        <v>9</v>
      </c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</row>
    <row r="15" spans="1:15" ht="26.25">
      <c r="B15" s="101" t="s">
        <v>64</v>
      </c>
      <c r="C15" s="101"/>
      <c r="D15" s="101"/>
      <c r="F15" s="127">
        <f>0.278*F7*B10</f>
        <v>49.906560000000006</v>
      </c>
      <c r="G15" s="128"/>
      <c r="H15" s="129"/>
    </row>
    <row r="17" spans="1:12" ht="26.25">
      <c r="B17" s="130" t="s">
        <v>65</v>
      </c>
      <c r="C17" s="130"/>
      <c r="D17" s="130"/>
      <c r="F17" s="127">
        <f>859.84*F15</f>
        <v>42911.65655040001</v>
      </c>
      <c r="G17" s="128"/>
      <c r="H17" s="129"/>
    </row>
    <row r="19" spans="1:12" ht="26.25" hidden="1">
      <c r="B19" s="101"/>
      <c r="C19" s="101"/>
      <c r="D19" s="101"/>
      <c r="F19" s="131"/>
      <c r="G19" s="131"/>
      <c r="H19" s="131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2" spans="1:12" ht="22.5">
      <c r="F22" s="105"/>
      <c r="G22" s="105"/>
      <c r="H22" s="105"/>
    </row>
    <row r="24" spans="1:12" ht="18">
      <c r="F24" s="126"/>
      <c r="G24" s="126"/>
      <c r="H24" s="126"/>
    </row>
  </sheetData>
  <mergeCells count="14">
    <mergeCell ref="F6:H6"/>
    <mergeCell ref="F7:H7"/>
    <mergeCell ref="B9:D9"/>
    <mergeCell ref="H9:J9"/>
    <mergeCell ref="B10:D10"/>
    <mergeCell ref="H10:J10"/>
    <mergeCell ref="F22:H22"/>
    <mergeCell ref="F24:H24"/>
    <mergeCell ref="B15:D15"/>
    <mergeCell ref="F15:H15"/>
    <mergeCell ref="B17:D17"/>
    <mergeCell ref="F17:H17"/>
    <mergeCell ref="B19:D19"/>
    <mergeCell ref="F19:H19"/>
  </mergeCells>
  <dataValidations count="3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  <dataValidation allowBlank="1" showErrorMessage="1" promptTitle="نوع وسیله گاز " prompt="لطفا نوع وسیله گاز سوز انتخاب گردد" sqref="B8:B11"/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showRowColHeaders="0" rightToLeft="1" workbookViewId="0">
      <selection activeCell="P16" sqref="P16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1" spans="1:15" ht="7.5" customHeight="1"/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4"/>
      <c r="K4" s="5">
        <f>IF(B4="","",VLOOKUP(B4,data!B5:I6,7))</f>
        <v>20</v>
      </c>
      <c r="O4" t="s">
        <v>5</v>
      </c>
    </row>
    <row r="5" spans="1:15" ht="4.5" customHeight="1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9</v>
      </c>
      <c r="F7" s="110">
        <f>VLOOKUP(TRUE,data!Q18:R21,2,FALSE)</f>
        <v>37.78</v>
      </c>
      <c r="G7" s="111"/>
      <c r="H7" s="112"/>
    </row>
    <row r="8" spans="1:15" ht="5.25" customHeight="1">
      <c r="B8" s="17"/>
      <c r="F8" s="18"/>
      <c r="G8" s="18"/>
      <c r="H8" s="18"/>
    </row>
    <row r="9" spans="1:15" ht="21" hidden="1">
      <c r="B9" s="142"/>
      <c r="C9" s="142"/>
      <c r="D9" s="142"/>
      <c r="E9" s="20"/>
      <c r="F9" s="19"/>
      <c r="G9" s="19"/>
      <c r="H9" s="142"/>
      <c r="I9" s="142"/>
      <c r="J9" s="142"/>
    </row>
    <row r="10" spans="1:15" ht="18" hidden="1">
      <c r="B10" s="143"/>
      <c r="C10" s="143"/>
      <c r="D10" s="143"/>
      <c r="E10" s="20"/>
      <c r="F10" s="18"/>
      <c r="G10" s="18"/>
      <c r="H10" s="144"/>
      <c r="I10" s="144"/>
      <c r="J10" s="144"/>
    </row>
    <row r="11" spans="1:15" ht="18" hidden="1">
      <c r="B11" s="17"/>
      <c r="F11" s="18"/>
      <c r="G11" s="18"/>
      <c r="H11" s="18"/>
    </row>
    <row r="12" spans="1:15" ht="4.5" customHeight="1">
      <c r="O12" t="s">
        <v>9</v>
      </c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</row>
    <row r="15" spans="1:15" ht="21">
      <c r="B15" s="138" t="s">
        <v>68</v>
      </c>
      <c r="C15" s="138"/>
      <c r="D15" s="138"/>
      <c r="F15" s="139">
        <v>6</v>
      </c>
      <c r="G15" s="140"/>
      <c r="H15" s="141"/>
    </row>
    <row r="16" spans="1:15" ht="6.75" customHeight="1"/>
    <row r="17" spans="1:12" ht="21">
      <c r="B17" s="138" t="s">
        <v>69</v>
      </c>
      <c r="C17" s="138"/>
      <c r="D17" s="138"/>
      <c r="F17" s="139">
        <v>22</v>
      </c>
      <c r="G17" s="140"/>
      <c r="H17" s="141"/>
    </row>
    <row r="18" spans="1:12" ht="6.75" customHeight="1">
      <c r="B18" s="24"/>
      <c r="C18" s="24"/>
      <c r="D18" s="24"/>
    </row>
    <row r="19" spans="1:12" ht="21">
      <c r="B19" s="138" t="s">
        <v>70</v>
      </c>
      <c r="C19" s="138"/>
      <c r="D19" s="138"/>
      <c r="F19" s="139">
        <v>91</v>
      </c>
      <c r="G19" s="140"/>
      <c r="H19" s="141"/>
    </row>
    <row r="20" spans="1:12" ht="8.25" customHeight="1">
      <c r="B20" s="101"/>
      <c r="C20" s="101"/>
      <c r="D20" s="101"/>
      <c r="F20" s="25"/>
      <c r="G20" s="25"/>
      <c r="H20" s="25"/>
    </row>
    <row r="21" spans="1:12" ht="21" customHeight="1">
      <c r="B21" s="138" t="s">
        <v>71</v>
      </c>
      <c r="C21" s="138"/>
      <c r="D21" s="138"/>
      <c r="F21" s="139">
        <v>0.20599999999999999</v>
      </c>
      <c r="G21" s="140"/>
      <c r="H21" s="141"/>
    </row>
    <row r="22" spans="1:12" ht="6" customHeight="1">
      <c r="B22" s="7"/>
      <c r="C22" s="7"/>
      <c r="D22" s="7"/>
      <c r="F22" s="25"/>
      <c r="G22" s="25"/>
      <c r="H22" s="25"/>
    </row>
    <row r="23" spans="1:12" ht="21" customHeight="1">
      <c r="B23" s="138" t="s">
        <v>72</v>
      </c>
      <c r="C23" s="138"/>
      <c r="D23" s="138"/>
      <c r="F23" s="139">
        <v>0.85</v>
      </c>
      <c r="G23" s="140"/>
      <c r="H23" s="141"/>
    </row>
    <row r="24" spans="1:12" hidden="1"/>
    <row r="25" spans="1:12" ht="26.25" hidden="1">
      <c r="B25" s="130"/>
      <c r="C25" s="130"/>
      <c r="D25" s="130"/>
      <c r="F25" s="25"/>
      <c r="G25" s="25"/>
      <c r="H25" s="25"/>
    </row>
    <row r="26" spans="1:12" ht="7.5" customHeight="1"/>
    <row r="27" spans="1:12" ht="26.25" hidden="1">
      <c r="B27" s="101"/>
      <c r="C27" s="101"/>
      <c r="D27" s="101"/>
      <c r="F27" s="131"/>
      <c r="G27" s="131"/>
      <c r="H27" s="131"/>
    </row>
    <row r="28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6.75" customHeight="1"/>
    <row r="30" spans="1:12" ht="22.5">
      <c r="F30" s="105" t="s">
        <v>73</v>
      </c>
      <c r="G30" s="105"/>
      <c r="H30" s="105"/>
    </row>
    <row r="31" spans="1:12" ht="4.5" customHeight="1"/>
    <row r="32" spans="1:12" ht="18">
      <c r="F32" s="135">
        <f>((0.00418*F15*(F19-F17))/(F21*F23*F7))*100</f>
        <v>26.159444848727446</v>
      </c>
      <c r="G32" s="136"/>
      <c r="H32" s="137"/>
    </row>
  </sheetData>
  <mergeCells count="22">
    <mergeCell ref="F6:H6"/>
    <mergeCell ref="F7:H7"/>
    <mergeCell ref="B9:D9"/>
    <mergeCell ref="H9:J9"/>
    <mergeCell ref="B10:D10"/>
    <mergeCell ref="H10:J10"/>
    <mergeCell ref="B15:D15"/>
    <mergeCell ref="F15:H15"/>
    <mergeCell ref="B17:D17"/>
    <mergeCell ref="F17:H17"/>
    <mergeCell ref="B19:D19"/>
    <mergeCell ref="F19:H19"/>
    <mergeCell ref="B27:D27"/>
    <mergeCell ref="F27:H27"/>
    <mergeCell ref="F30:H30"/>
    <mergeCell ref="F32:H32"/>
    <mergeCell ref="B20:D20"/>
    <mergeCell ref="B21:D21"/>
    <mergeCell ref="F21:H21"/>
    <mergeCell ref="B23:D23"/>
    <mergeCell ref="F23:H23"/>
    <mergeCell ref="B25:D25"/>
  </mergeCells>
  <dataValidations count="3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  <dataValidation allowBlank="1" showErrorMessage="1" promptTitle="نوع وسیله گاز " prompt="لطفا نوع وسیله گاز سوز انتخاب گردد" sqref="B8:B11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showRowColHeaders="0" rightToLeft="1" workbookViewId="0">
      <selection activeCell="B7" sqref="B7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1" spans="1:15" ht="7.5" customHeight="1"/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4"/>
      <c r="K4" s="5">
        <f>IF(B4="","",VLOOKUP(B4,data!B5:I6,7))</f>
        <v>20</v>
      </c>
      <c r="O4" t="s">
        <v>5</v>
      </c>
    </row>
    <row r="5" spans="1:15" ht="4.5" customHeight="1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8</v>
      </c>
      <c r="F7" s="110">
        <f>VLOOKUP(TRUE,data!Q35:R38,2,FALSE)</f>
        <v>34.020000000000003</v>
      </c>
      <c r="G7" s="111"/>
      <c r="H7" s="112"/>
    </row>
    <row r="8" spans="1:15" ht="5.25" customHeight="1">
      <c r="B8" s="17"/>
      <c r="F8" s="18"/>
      <c r="G8" s="18"/>
      <c r="H8" s="18"/>
    </row>
    <row r="9" spans="1:15" ht="21" hidden="1">
      <c r="B9" s="142"/>
      <c r="C9" s="142"/>
      <c r="D9" s="142"/>
      <c r="E9" s="20"/>
      <c r="F9" s="19"/>
      <c r="G9" s="19"/>
      <c r="H9" s="142"/>
      <c r="I9" s="142"/>
      <c r="J9" s="142"/>
    </row>
    <row r="10" spans="1:15" ht="18" hidden="1">
      <c r="B10" s="143"/>
      <c r="C10" s="143"/>
      <c r="D10" s="143"/>
      <c r="E10" s="20"/>
      <c r="F10" s="18"/>
      <c r="G10" s="18"/>
      <c r="H10" s="144"/>
      <c r="I10" s="144"/>
      <c r="J10" s="144"/>
    </row>
    <row r="11" spans="1:15" ht="18" hidden="1">
      <c r="B11" s="17"/>
      <c r="F11" s="18"/>
      <c r="G11" s="18"/>
      <c r="H11" s="18"/>
    </row>
    <row r="12" spans="1:15" ht="4.5" customHeight="1">
      <c r="O12" t="s">
        <v>9</v>
      </c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</row>
    <row r="15" spans="1:15" ht="21">
      <c r="B15" s="138" t="s">
        <v>68</v>
      </c>
      <c r="C15" s="138"/>
      <c r="D15" s="138"/>
      <c r="F15" s="139">
        <v>6</v>
      </c>
      <c r="G15" s="140"/>
      <c r="H15" s="141"/>
    </row>
    <row r="16" spans="1:15" ht="6.75" customHeight="1"/>
    <row r="17" spans="1:12" ht="21">
      <c r="B17" s="138" t="s">
        <v>69</v>
      </c>
      <c r="C17" s="138"/>
      <c r="D17" s="138"/>
      <c r="F17" s="139">
        <v>22</v>
      </c>
      <c r="G17" s="140"/>
      <c r="H17" s="141"/>
    </row>
    <row r="18" spans="1:12" ht="6.75" customHeight="1">
      <c r="B18" s="24"/>
      <c r="C18" s="24"/>
      <c r="D18" s="24"/>
    </row>
    <row r="19" spans="1:12" ht="21">
      <c r="B19" s="138" t="s">
        <v>70</v>
      </c>
      <c r="C19" s="138"/>
      <c r="D19" s="138"/>
      <c r="F19" s="139">
        <v>91</v>
      </c>
      <c r="G19" s="140"/>
      <c r="H19" s="141"/>
    </row>
    <row r="20" spans="1:12" ht="8.25" customHeight="1">
      <c r="B20" s="101"/>
      <c r="C20" s="101"/>
      <c r="D20" s="101"/>
      <c r="F20" s="25"/>
      <c r="G20" s="25"/>
      <c r="H20" s="25"/>
    </row>
    <row r="21" spans="1:12" ht="21" customHeight="1">
      <c r="B21" s="138" t="s">
        <v>71</v>
      </c>
      <c r="C21" s="138"/>
      <c r="D21" s="138"/>
      <c r="F21" s="139">
        <v>0.20599999999999999</v>
      </c>
      <c r="G21" s="140"/>
      <c r="H21" s="141"/>
    </row>
    <row r="22" spans="1:12" ht="6" customHeight="1">
      <c r="B22" s="7"/>
      <c r="C22" s="7"/>
      <c r="D22" s="7"/>
      <c r="F22" s="25"/>
      <c r="G22" s="25"/>
      <c r="H22" s="25"/>
    </row>
    <row r="23" spans="1:12" ht="21" customHeight="1">
      <c r="B23" s="138" t="s">
        <v>72</v>
      </c>
      <c r="C23" s="138"/>
      <c r="D23" s="138"/>
      <c r="F23" s="139">
        <v>0.85</v>
      </c>
      <c r="G23" s="140"/>
      <c r="H23" s="141"/>
    </row>
    <row r="24" spans="1:12" hidden="1"/>
    <row r="25" spans="1:12" ht="26.25" hidden="1">
      <c r="B25" s="130"/>
      <c r="C25" s="130"/>
      <c r="D25" s="130"/>
      <c r="F25" s="25"/>
      <c r="G25" s="25"/>
      <c r="H25" s="25"/>
    </row>
    <row r="26" spans="1:12" ht="7.5" customHeight="1"/>
    <row r="27" spans="1:12" ht="26.25" hidden="1">
      <c r="B27" s="101"/>
      <c r="C27" s="101"/>
      <c r="D27" s="101"/>
      <c r="F27" s="131"/>
      <c r="G27" s="131"/>
      <c r="H27" s="131"/>
    </row>
    <row r="28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6.75" customHeight="1"/>
    <row r="30" spans="1:12" ht="22.5">
      <c r="F30" s="105" t="s">
        <v>73</v>
      </c>
      <c r="G30" s="105"/>
      <c r="H30" s="105"/>
    </row>
    <row r="31" spans="1:12" ht="4.5" customHeight="1"/>
    <row r="32" spans="1:12" ht="18">
      <c r="F32" s="135">
        <f>((0.00418*F15*(F19-F17))/(F21*F23*F7))*100</f>
        <v>29.050670969574455</v>
      </c>
      <c r="G32" s="136"/>
      <c r="H32" s="137"/>
    </row>
  </sheetData>
  <mergeCells count="22">
    <mergeCell ref="F6:H6"/>
    <mergeCell ref="F7:H7"/>
    <mergeCell ref="B9:D9"/>
    <mergeCell ref="H9:J9"/>
    <mergeCell ref="B10:D10"/>
    <mergeCell ref="H10:J10"/>
    <mergeCell ref="B15:D15"/>
    <mergeCell ref="F15:H15"/>
    <mergeCell ref="B17:D17"/>
    <mergeCell ref="F17:H17"/>
    <mergeCell ref="B19:D19"/>
    <mergeCell ref="F19:H19"/>
    <mergeCell ref="B27:D27"/>
    <mergeCell ref="F27:H27"/>
    <mergeCell ref="F30:H30"/>
    <mergeCell ref="F32:H32"/>
    <mergeCell ref="B20:D20"/>
    <mergeCell ref="B21:D21"/>
    <mergeCell ref="F21:H21"/>
    <mergeCell ref="B23:D23"/>
    <mergeCell ref="F23:H23"/>
    <mergeCell ref="B25:D25"/>
  </mergeCells>
  <dataValidations count="3">
    <dataValidation allowBlank="1" showErrorMessage="1" promptTitle="نوع وسیله گاز " prompt="لطفا نوع وسیله گاز سوز انتخاب گردد" sqref="B8:B11"/>
    <dataValidation allowBlank="1" promptTitle="نوع وسیله گاز " prompt="لطفا نوع وسیله گاز سوز انتخاب گردد" sqref="B7"/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H11"/>
  <sheetViews>
    <sheetView showGridLines="0" showRowColHeaders="0" rightToLeft="1" workbookViewId="0"/>
  </sheetViews>
  <sheetFormatPr defaultRowHeight="14.25"/>
  <cols>
    <col min="7" max="7" width="12.375" customWidth="1"/>
  </cols>
  <sheetData>
    <row r="2" spans="6:8" ht="21">
      <c r="G2" s="1" t="s">
        <v>76</v>
      </c>
    </row>
    <row r="3" spans="6:8" ht="21.75" customHeight="1">
      <c r="G3" s="88">
        <v>24</v>
      </c>
    </row>
    <row r="5" spans="6:8" s="6" customFormat="1"/>
    <row r="7" spans="6:8" ht="21">
      <c r="F7" s="138" t="s">
        <v>52</v>
      </c>
      <c r="G7" s="138"/>
      <c r="H7" s="138"/>
    </row>
    <row r="8" spans="6:8" ht="5.25" customHeight="1"/>
    <row r="9" spans="6:8" ht="27" customHeight="1">
      <c r="F9" s="145">
        <f>EXP(21.094-(5262/(273.15+G3)))</f>
        <v>29.540784454114796</v>
      </c>
      <c r="G9" s="146"/>
      <c r="H9" s="147"/>
    </row>
    <row r="11" spans="6:8" s="6" customFormat="1"/>
  </sheetData>
  <mergeCells count="2">
    <mergeCell ref="F7:H7"/>
    <mergeCell ref="F9:H9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showGridLines="0" showRowColHeaders="0" rightToLeft="1" workbookViewId="0">
      <selection activeCell="K16" sqref="K16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6" width="9" hidden="1" customWidth="1"/>
  </cols>
  <sheetData>
    <row r="2" spans="1:16" hidden="1"/>
    <row r="3" spans="1:16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6" ht="18">
      <c r="B4" s="3" t="s">
        <v>5</v>
      </c>
      <c r="C4" s="4"/>
      <c r="D4" s="4"/>
      <c r="E4" s="5" t="s">
        <v>27</v>
      </c>
      <c r="F4" s="4"/>
      <c r="G4" s="4"/>
      <c r="H4" s="5">
        <f>GAS!F5</f>
        <v>0.55500000000000005</v>
      </c>
      <c r="I4" s="4"/>
      <c r="J4" s="4"/>
      <c r="K4" s="5">
        <f>GAS!K8</f>
        <v>25</v>
      </c>
      <c r="O4" t="s">
        <v>5</v>
      </c>
    </row>
    <row r="5" spans="1:16">
      <c r="O5" t="s">
        <v>4</v>
      </c>
    </row>
    <row r="6" spans="1:16" ht="21">
      <c r="B6" s="1"/>
      <c r="F6" s="109" t="s">
        <v>77</v>
      </c>
      <c r="G6" s="109"/>
      <c r="H6" s="109"/>
    </row>
    <row r="7" spans="1:16" ht="18">
      <c r="B7" s="3"/>
      <c r="F7" s="110">
        <f>GAS!G5</f>
        <v>11.7</v>
      </c>
      <c r="G7" s="111"/>
      <c r="H7" s="112"/>
    </row>
    <row r="8" spans="1:16" ht="10.5" customHeight="1">
      <c r="B8" s="17"/>
      <c r="F8" s="18"/>
      <c r="G8" s="18"/>
      <c r="H8" s="18"/>
    </row>
    <row r="9" spans="1:16" ht="3.75" customHeight="1">
      <c r="B9" s="109"/>
      <c r="C9" s="109"/>
      <c r="D9" s="109"/>
      <c r="F9" s="19"/>
      <c r="G9" s="19"/>
      <c r="H9" s="109"/>
      <c r="I9" s="109"/>
      <c r="J9" s="109"/>
      <c r="P9" s="27"/>
    </row>
    <row r="10" spans="1:16" ht="1.5" customHeight="1">
      <c r="B10" s="143"/>
      <c r="C10" s="143"/>
      <c r="D10" s="143"/>
      <c r="F10" s="18"/>
      <c r="G10" s="18"/>
      <c r="H10" s="144"/>
      <c r="I10" s="144"/>
      <c r="J10" s="144"/>
      <c r="P10" s="27"/>
    </row>
    <row r="11" spans="1:16" ht="3" customHeight="1">
      <c r="B11" s="17"/>
      <c r="F11" s="18"/>
      <c r="G11" s="18"/>
      <c r="H11" s="18"/>
    </row>
    <row r="12" spans="1:16" ht="3.75" customHeight="1">
      <c r="O12" t="s">
        <v>9</v>
      </c>
    </row>
    <row r="13" spans="1:16" ht="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  <c r="P13" s="27" t="s">
        <v>133</v>
      </c>
    </row>
    <row r="14" spans="1:16" ht="15">
      <c r="P14" s="27" t="s">
        <v>30</v>
      </c>
    </row>
    <row r="15" spans="1:16" ht="26.25">
      <c r="B15" s="101" t="s">
        <v>78</v>
      </c>
      <c r="C15" s="101"/>
      <c r="D15" s="101"/>
      <c r="F15" s="148">
        <v>0.02</v>
      </c>
      <c r="G15" s="149"/>
      <c r="H15" s="150"/>
      <c r="P15" s="27" t="s">
        <v>130</v>
      </c>
    </row>
    <row r="16" spans="1:16" ht="15">
      <c r="P16" s="27" t="s">
        <v>128</v>
      </c>
    </row>
    <row r="17" spans="1:16" ht="26.25">
      <c r="B17" s="130" t="s">
        <v>79</v>
      </c>
      <c r="C17" s="130"/>
      <c r="D17" s="130"/>
      <c r="F17" s="148">
        <v>5</v>
      </c>
      <c r="G17" s="149"/>
      <c r="H17" s="150"/>
      <c r="P17" s="27" t="s">
        <v>116</v>
      </c>
    </row>
    <row r="18" spans="1:16" ht="15">
      <c r="P18" s="27" t="s">
        <v>120</v>
      </c>
    </row>
    <row r="19" spans="1:16" ht="26.25" hidden="1">
      <c r="B19" s="101"/>
      <c r="C19" s="101"/>
      <c r="D19" s="101"/>
      <c r="F19" s="131"/>
      <c r="G19" s="131"/>
      <c r="H19" s="131"/>
    </row>
    <row r="20" spans="1:16" ht="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P20" s="27" t="s">
        <v>27</v>
      </c>
    </row>
    <row r="21" spans="1:16" ht="15">
      <c r="P21" s="27" t="s">
        <v>125</v>
      </c>
    </row>
    <row r="22" spans="1:16" ht="26.25">
      <c r="B22" s="130" t="s">
        <v>80</v>
      </c>
      <c r="C22" s="130"/>
      <c r="D22" s="130"/>
      <c r="F22" s="127">
        <f>(F15*F7)/F17</f>
        <v>4.6799999999999994E-2</v>
      </c>
      <c r="G22" s="128"/>
      <c r="H22" s="129"/>
    </row>
    <row r="24" spans="1:16" ht="26.25">
      <c r="B24" s="130" t="s">
        <v>81</v>
      </c>
      <c r="C24" s="130"/>
      <c r="D24" s="130"/>
      <c r="F24" s="106">
        <f>F22*10000</f>
        <v>467.99999999999994</v>
      </c>
      <c r="G24" s="107"/>
      <c r="H24" s="108"/>
    </row>
  </sheetData>
  <mergeCells count="16">
    <mergeCell ref="F6:H6"/>
    <mergeCell ref="F7:H7"/>
    <mergeCell ref="B9:D9"/>
    <mergeCell ref="H9:J9"/>
    <mergeCell ref="B10:D10"/>
    <mergeCell ref="H10:J10"/>
    <mergeCell ref="B22:D22"/>
    <mergeCell ref="F22:H22"/>
    <mergeCell ref="B24:D24"/>
    <mergeCell ref="F24:H24"/>
    <mergeCell ref="B15:D15"/>
    <mergeCell ref="F15:H15"/>
    <mergeCell ref="B17:D17"/>
    <mergeCell ref="F17:H17"/>
    <mergeCell ref="B19:D19"/>
    <mergeCell ref="F19:H19"/>
  </mergeCells>
  <dataValidations count="4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  <dataValidation allowBlank="1" showErrorMessage="1" promptTitle="نوع وسیله گاز " prompt="لطفا نوع وسیله گاز سوز انتخاب گردد" sqref="B8:B11"/>
    <dataValidation type="list" allowBlank="1" showInputMessage="1" showErrorMessage="1" sqref="E4">
      <formula1>$P$13:$P$21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showGridLines="0" showRowColHeaders="0" rightToLeft="1" workbookViewId="0">
      <selection activeCell="C7" sqref="C7"/>
    </sheetView>
  </sheetViews>
  <sheetFormatPr defaultRowHeight="14.25"/>
  <cols>
    <col min="2" max="2" width="11.375" customWidth="1"/>
    <col min="5" max="5" width="11.625" bestFit="1" customWidth="1"/>
    <col min="7" max="7" width="3.75" customWidth="1"/>
    <col min="8" max="8" width="9.875" customWidth="1"/>
    <col min="9" max="9" width="4.375" customWidth="1"/>
    <col min="11" max="11" width="3.5" customWidth="1"/>
    <col min="13" max="13" width="3.5" customWidth="1"/>
    <col min="15" max="15" width="0" hidden="1" customWidth="1"/>
  </cols>
  <sheetData>
    <row r="2" spans="1:16" hidden="1"/>
    <row r="3" spans="1:16" ht="21">
      <c r="B3" s="75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 t="s">
        <v>3</v>
      </c>
    </row>
    <row r="4" spans="1:16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5">
        <f>IF(B4="","",VLOOKUP(B4,data!B5:I6,7))</f>
        <v>20</v>
      </c>
      <c r="O4" t="s">
        <v>5</v>
      </c>
    </row>
    <row r="5" spans="1:16" ht="6.75" customHeight="1">
      <c r="O5" t="s">
        <v>4</v>
      </c>
    </row>
    <row r="6" spans="1:16" ht="21">
      <c r="B6" s="75" t="s">
        <v>6</v>
      </c>
      <c r="F6" s="109" t="s">
        <v>7</v>
      </c>
      <c r="G6" s="109"/>
      <c r="H6" s="109"/>
    </row>
    <row r="7" spans="1:16" ht="18">
      <c r="B7" s="3" t="s">
        <v>9</v>
      </c>
      <c r="F7" s="110">
        <f>VLOOKUP(TRUE,data!Q10:R13,2,FALSE)</f>
        <v>37.78</v>
      </c>
      <c r="G7" s="111"/>
      <c r="H7" s="112"/>
    </row>
    <row r="8" spans="1:16" ht="6" customHeight="1">
      <c r="B8" s="76"/>
      <c r="F8" s="77"/>
      <c r="G8" s="77"/>
      <c r="H8" s="77"/>
    </row>
    <row r="9" spans="1:16" ht="21" hidden="1">
      <c r="B9" s="142"/>
      <c r="C9" s="142"/>
      <c r="D9" s="142"/>
      <c r="E9" s="20"/>
      <c r="F9" s="19"/>
      <c r="G9" s="19"/>
      <c r="H9" s="142"/>
      <c r="I9" s="142"/>
      <c r="J9" s="142"/>
    </row>
    <row r="10" spans="1:16" ht="18" hidden="1">
      <c r="B10" s="143"/>
      <c r="C10" s="143"/>
      <c r="D10" s="143"/>
      <c r="E10" s="20"/>
      <c r="F10" s="77"/>
      <c r="G10" s="77"/>
      <c r="H10" s="144"/>
      <c r="I10" s="144"/>
      <c r="J10" s="144"/>
    </row>
    <row r="11" spans="1:16" ht="18" hidden="1">
      <c r="B11" s="76"/>
      <c r="F11" s="77"/>
      <c r="G11" s="77"/>
      <c r="H11" s="77"/>
    </row>
    <row r="12" spans="1:16" ht="5.25" customHeight="1">
      <c r="O12" t="s">
        <v>9</v>
      </c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5" spans="1:16" ht="21">
      <c r="B15" s="138" t="s">
        <v>149</v>
      </c>
      <c r="C15" s="138"/>
      <c r="D15" s="138"/>
      <c r="F15" s="78" t="s">
        <v>32</v>
      </c>
      <c r="G15" s="82"/>
      <c r="H15" s="78" t="s">
        <v>32</v>
      </c>
      <c r="J15" s="78" t="s">
        <v>29</v>
      </c>
      <c r="L15" s="78" t="s">
        <v>33</v>
      </c>
      <c r="N15" s="78" t="s">
        <v>33</v>
      </c>
    </row>
    <row r="16" spans="1:16" ht="10.5" customHeight="1">
      <c r="F16" s="74"/>
      <c r="G16" s="20"/>
      <c r="H16" s="74"/>
    </row>
    <row r="17" spans="1:16" ht="21">
      <c r="B17" s="138" t="s">
        <v>150</v>
      </c>
      <c r="C17" s="138"/>
      <c r="D17" s="138"/>
      <c r="F17" s="78">
        <v>59.71</v>
      </c>
      <c r="G17" s="82"/>
      <c r="H17" s="78">
        <v>60.75</v>
      </c>
      <c r="J17" s="78">
        <v>60.73</v>
      </c>
      <c r="L17" s="78">
        <v>61.49</v>
      </c>
      <c r="N17" s="78">
        <v>58.22</v>
      </c>
    </row>
    <row r="18" spans="1:16" ht="9" customHeight="1">
      <c r="B18" s="24"/>
      <c r="C18" s="24"/>
      <c r="D18" s="24"/>
      <c r="F18" s="74"/>
      <c r="G18" s="20"/>
      <c r="H18" s="74"/>
    </row>
    <row r="19" spans="1:16" ht="21">
      <c r="B19" s="138" t="s">
        <v>151</v>
      </c>
      <c r="C19" s="138"/>
      <c r="D19" s="138"/>
      <c r="F19" s="78">
        <v>2.76</v>
      </c>
      <c r="G19" s="82"/>
      <c r="H19" s="78">
        <v>1.99</v>
      </c>
      <c r="J19" s="78">
        <v>1.35</v>
      </c>
      <c r="L19" s="78">
        <v>2.0299999999999998</v>
      </c>
      <c r="N19" s="78">
        <v>3.59</v>
      </c>
    </row>
    <row r="20" spans="1:16" ht="6" customHeight="1">
      <c r="B20" s="101"/>
      <c r="C20" s="101"/>
      <c r="D20" s="101"/>
      <c r="F20" s="83"/>
      <c r="G20" s="25"/>
      <c r="H20" s="83"/>
    </row>
    <row r="21" spans="1:16" ht="21" customHeight="1">
      <c r="B21" s="138" t="s">
        <v>152</v>
      </c>
      <c r="C21" s="138"/>
      <c r="D21" s="138"/>
      <c r="F21" s="78">
        <v>0.26269999999999999</v>
      </c>
      <c r="G21" s="82"/>
      <c r="H21" s="78">
        <v>0.18901999999999999</v>
      </c>
      <c r="J21" s="78">
        <v>0.12853000000000001</v>
      </c>
      <c r="L21" s="78">
        <v>0.1928</v>
      </c>
      <c r="N21" s="78">
        <v>0.34212999999999999</v>
      </c>
    </row>
    <row r="22" spans="1:16" ht="9" customHeight="1">
      <c r="B22" s="73"/>
      <c r="C22" s="73"/>
      <c r="D22" s="73"/>
      <c r="F22" s="83"/>
      <c r="G22" s="25"/>
      <c r="H22" s="83"/>
    </row>
    <row r="23" spans="1:16" ht="21" customHeight="1">
      <c r="B23" s="138" t="s">
        <v>153</v>
      </c>
      <c r="C23" s="138"/>
      <c r="D23" s="138"/>
      <c r="F23" s="84">
        <f>IF(F15="","",IF(F15="پلوپز",540,IF(F15="بزرگ",660,IF(F15="متوسط",770,IF(F15="کوچک",740,"")))))</f>
        <v>660</v>
      </c>
      <c r="G23" s="82"/>
      <c r="H23" s="84">
        <f>IF(H15="","",IF(H15="پلوپز",540,IF(H15="بزرگ",660,IF(H15="متوسط",770,IF(H15="کوچک",740,"")))))</f>
        <v>660</v>
      </c>
      <c r="J23" s="84">
        <f>IF(J15="","",IF(J15="پلوپز",540,IF(J15="بزرگ",660,IF(J15="متوسط",770,IF(J15="کوچک",740,"")))))</f>
        <v>770</v>
      </c>
      <c r="L23" s="84">
        <f>IF(L15="","",IF(L15="پلوپز",540,IF(L15="بزرگ",660,IF(L15="متوسط",770,IF(L15="کوچک",740,"")))))</f>
        <v>540</v>
      </c>
      <c r="N23" s="84">
        <f>IF(N15="","",IF(N15="پلوپز",540,IF(N15="بزرگ",660,IF(N15="متوسط",770,IF(N15="کوچک",740,"")))))</f>
        <v>540</v>
      </c>
    </row>
    <row r="24" spans="1:16" hidden="1"/>
    <row r="25" spans="1:16" ht="26.25" hidden="1">
      <c r="B25" s="130"/>
      <c r="C25" s="130"/>
      <c r="D25" s="130"/>
      <c r="F25" s="25"/>
      <c r="G25" s="25"/>
      <c r="H25" s="25"/>
    </row>
    <row r="27" spans="1:16" ht="26.25" hidden="1">
      <c r="B27" s="101"/>
      <c r="C27" s="101"/>
      <c r="D27" s="101"/>
      <c r="F27" s="131"/>
      <c r="G27" s="131"/>
      <c r="H27" s="131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30" spans="1:16" ht="23.25">
      <c r="B30" s="138" t="s">
        <v>154</v>
      </c>
      <c r="C30" s="138"/>
      <c r="D30" s="138"/>
      <c r="E30" s="153">
        <f>((((F17/100)*F19*F23)+((H17/100)*H19*H23)+((J17/100)*J19*J23)+((L17/100)*L19*L23)+((N17/100)*N19*N23))/((F19*F23)+(H19*H23)+(J19*J23)+(L19*L23)+(N19*N23)))*100</f>
        <v>59.916531563397278</v>
      </c>
      <c r="F30" s="153"/>
      <c r="G30" s="154" t="s">
        <v>155</v>
      </c>
      <c r="H30" s="154"/>
      <c r="I30" s="154"/>
      <c r="J30" s="85" t="str">
        <f>VLOOKUP(TRUE,data!E17:F30,2,FALSE)</f>
        <v>A</v>
      </c>
      <c r="L30" s="151" t="s">
        <v>156</v>
      </c>
      <c r="M30" s="151"/>
      <c r="N30" s="86">
        <f>((F21*F23)+(H21*H23)+(J21*J23)+(L21*L23)+(N21*N23))</f>
        <v>685.96550000000002</v>
      </c>
    </row>
    <row r="31" spans="1:16">
      <c r="L31" s="151"/>
      <c r="M31" s="151"/>
    </row>
    <row r="32" spans="1:16" ht="22.5">
      <c r="B32" s="138" t="s">
        <v>157</v>
      </c>
      <c r="C32" s="138"/>
      <c r="D32" s="138"/>
      <c r="E32" s="152">
        <f>AVERAGE(F17,H17,J17,L17,N17)</f>
        <v>60.179999999999993</v>
      </c>
      <c r="F32" s="152"/>
      <c r="G32" s="14"/>
      <c r="H32" s="14"/>
    </row>
  </sheetData>
  <mergeCells count="21">
    <mergeCell ref="B23:D23"/>
    <mergeCell ref="F6:H6"/>
    <mergeCell ref="F7:H7"/>
    <mergeCell ref="B9:D9"/>
    <mergeCell ref="H9:J9"/>
    <mergeCell ref="B10:D10"/>
    <mergeCell ref="H10:J10"/>
    <mergeCell ref="B15:D15"/>
    <mergeCell ref="B17:D17"/>
    <mergeCell ref="B19:D19"/>
    <mergeCell ref="B20:D20"/>
    <mergeCell ref="B21:D21"/>
    <mergeCell ref="L30:M31"/>
    <mergeCell ref="B32:D32"/>
    <mergeCell ref="E32:F32"/>
    <mergeCell ref="B25:D25"/>
    <mergeCell ref="B27:D27"/>
    <mergeCell ref="F27:H27"/>
    <mergeCell ref="B30:D30"/>
    <mergeCell ref="E30:F30"/>
    <mergeCell ref="G30:I30"/>
  </mergeCells>
  <conditionalFormatting sqref="J30">
    <cfRule type="cellIs" dxfId="13" priority="1" operator="equal">
      <formula>"A"</formula>
    </cfRule>
    <cfRule type="cellIs" dxfId="12" priority="2" operator="equal">
      <formula>"B"</formula>
    </cfRule>
    <cfRule type="cellIs" dxfId="11" priority="3" operator="equal">
      <formula>"C"</formula>
    </cfRule>
    <cfRule type="cellIs" dxfId="10" priority="4" operator="equal">
      <formula>"D"</formula>
    </cfRule>
    <cfRule type="cellIs" dxfId="9" priority="5" operator="equal">
      <formula>"E"</formula>
    </cfRule>
    <cfRule type="cellIs" dxfId="8" priority="6" operator="equal">
      <formula>"F"</formula>
    </cfRule>
    <cfRule type="cellIs" dxfId="7" priority="7" operator="equal">
      <formula>"G"</formula>
    </cfRule>
  </conditionalFormatting>
  <dataValidations count="3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  <dataValidation allowBlank="1" showErrorMessage="1" promptTitle="نوع وسیله گاز " prompt="لطفا نوع وسیله گاز سوز انتخاب گردد" sqref="B8:B11"/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data!$M$4:$M$8</xm:f>
          </x14:formula1>
          <xm:sqref>N15</xm:sqref>
        </x14:dataValidation>
        <x14:dataValidation type="list" allowBlank="1" showInputMessage="1" showErrorMessage="1">
          <x14:formula1>
            <xm:f>data!$M$4:$M$8</xm:f>
          </x14:formula1>
          <xm:sqref>F15 H15 J15 L15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showRowColHeaders="0" rightToLeft="1" workbookViewId="0">
      <selection activeCell="F7" sqref="F7:H7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1" spans="1:15" ht="6" customHeight="1"/>
    <row r="2" spans="1:15" hidden="1"/>
    <row r="3" spans="1:15" ht="21">
      <c r="B3" s="23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4</v>
      </c>
      <c r="C4" s="4"/>
      <c r="D4" s="4"/>
      <c r="E4" s="5" t="str">
        <f>IF(B4="","",VLOOKUP(B4,data!B5:C6,2))</f>
        <v>G31</v>
      </c>
      <c r="F4" s="4"/>
      <c r="G4" s="4"/>
      <c r="H4" s="5">
        <f>IF(B4="","",VLOOKUP(B4,data!B5:E6,4))</f>
        <v>1.5529999999999999</v>
      </c>
      <c r="I4" s="4"/>
      <c r="J4" s="4"/>
      <c r="K4" s="5">
        <f>IF(B4="","",VLOOKUP(B4,data!B5:I6,7))</f>
        <v>29</v>
      </c>
      <c r="O4" t="s">
        <v>5</v>
      </c>
    </row>
    <row r="5" spans="1:15">
      <c r="O5" t="s">
        <v>4</v>
      </c>
    </row>
    <row r="6" spans="1:15" ht="21">
      <c r="B6" s="23" t="s">
        <v>6</v>
      </c>
      <c r="F6" s="109" t="s">
        <v>7</v>
      </c>
      <c r="G6" s="109"/>
      <c r="H6" s="109"/>
    </row>
    <row r="7" spans="1:15" ht="18">
      <c r="B7" s="3" t="s">
        <v>9</v>
      </c>
      <c r="F7" s="110">
        <f>VLOOKUP(TRUE,data!Q10:R13,2,FALSE)</f>
        <v>37.78</v>
      </c>
      <c r="G7" s="111"/>
      <c r="H7" s="112"/>
    </row>
    <row r="8" spans="1:15" ht="7.5" customHeight="1">
      <c r="B8" s="21"/>
      <c r="F8" s="22"/>
      <c r="G8" s="22"/>
      <c r="H8" s="22"/>
    </row>
    <row r="9" spans="1:15" ht="21" hidden="1">
      <c r="B9" s="142"/>
      <c r="C9" s="142"/>
      <c r="D9" s="142"/>
      <c r="E9" s="20"/>
      <c r="F9" s="19"/>
      <c r="G9" s="19"/>
      <c r="H9" s="142"/>
      <c r="I9" s="142"/>
      <c r="J9" s="142"/>
    </row>
    <row r="10" spans="1:15" ht="18" hidden="1">
      <c r="B10" s="143"/>
      <c r="C10" s="143"/>
      <c r="D10" s="143"/>
      <c r="E10" s="20"/>
      <c r="F10" s="22"/>
      <c r="G10" s="22"/>
      <c r="H10" s="144"/>
      <c r="I10" s="144"/>
      <c r="J10" s="144"/>
    </row>
    <row r="11" spans="1:15" ht="18" hidden="1">
      <c r="B11" s="21"/>
      <c r="F11" s="22"/>
      <c r="G11" s="22"/>
      <c r="H11" s="22"/>
    </row>
    <row r="12" spans="1:15" ht="3" customHeight="1">
      <c r="O12" t="s">
        <v>9</v>
      </c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O13" t="s">
        <v>8</v>
      </c>
    </row>
    <row r="14" spans="1:15" ht="6" customHeight="1"/>
    <row r="15" spans="1:15" ht="21">
      <c r="B15" s="138" t="s">
        <v>138</v>
      </c>
      <c r="C15" s="138"/>
      <c r="D15" s="138"/>
      <c r="E15" s="78">
        <v>70</v>
      </c>
      <c r="F15" s="138" t="s">
        <v>139</v>
      </c>
      <c r="G15" s="138"/>
      <c r="H15" s="138"/>
      <c r="I15" s="79">
        <f>((E15/10)*(E17/10)*(E19/10))</f>
        <v>86.625</v>
      </c>
    </row>
    <row r="17" spans="1:12" ht="21">
      <c r="B17" s="138" t="s">
        <v>140</v>
      </c>
      <c r="C17" s="138"/>
      <c r="D17" s="138"/>
      <c r="E17" s="78">
        <v>37.5</v>
      </c>
      <c r="F17" s="138" t="s">
        <v>141</v>
      </c>
      <c r="G17" s="138"/>
      <c r="H17" s="138"/>
      <c r="I17" s="79">
        <f>0.93+(0.035*I15)</f>
        <v>3.9618750000000005</v>
      </c>
    </row>
    <row r="18" spans="1:12">
      <c r="D18" s="24"/>
    </row>
    <row r="19" spans="1:12" ht="21">
      <c r="B19" s="138" t="s">
        <v>142</v>
      </c>
      <c r="C19" s="138"/>
      <c r="D19" s="156"/>
      <c r="E19" s="78">
        <v>33</v>
      </c>
    </row>
    <row r="20" spans="1:12" ht="5.25" customHeight="1"/>
    <row r="2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9.75" customHeight="1">
      <c r="B22" s="16"/>
      <c r="C22" s="16"/>
      <c r="D22" s="16"/>
      <c r="F22" s="25"/>
      <c r="G22" s="25"/>
      <c r="H22" s="25"/>
    </row>
    <row r="23" spans="1:12" ht="21" customHeight="1">
      <c r="B23" s="138" t="s">
        <v>143</v>
      </c>
      <c r="C23" s="138"/>
      <c r="D23" s="138"/>
      <c r="E23" s="78">
        <v>20</v>
      </c>
      <c r="F23" s="138" t="s">
        <v>144</v>
      </c>
      <c r="G23" s="138"/>
      <c r="H23" s="138"/>
      <c r="I23" s="79">
        <f>0.278*F7*(((E23*3600)/E28)/1000)*E30</f>
        <v>2.3694407040000001</v>
      </c>
    </row>
    <row r="24" spans="1:12" hidden="1"/>
    <row r="25" spans="1:12" ht="26.25" hidden="1">
      <c r="B25" s="130"/>
      <c r="C25" s="130"/>
      <c r="D25" s="130"/>
      <c r="F25" s="25"/>
      <c r="G25" s="25"/>
      <c r="H25" s="25"/>
    </row>
    <row r="27" spans="1:12" ht="26.25" hidden="1">
      <c r="B27" s="101"/>
      <c r="C27" s="101"/>
      <c r="D27" s="101"/>
      <c r="F27" s="131"/>
      <c r="G27" s="131"/>
      <c r="H27" s="131"/>
    </row>
    <row r="28" spans="1:12" ht="21">
      <c r="B28" s="138" t="s">
        <v>145</v>
      </c>
      <c r="C28" s="138"/>
      <c r="D28" s="138"/>
      <c r="E28" s="78">
        <v>300</v>
      </c>
      <c r="F28" s="157" t="s">
        <v>146</v>
      </c>
      <c r="G28" s="138"/>
      <c r="H28" s="156"/>
      <c r="I28" s="79">
        <f>(I23/I17)*100</f>
        <v>59.806043956460009</v>
      </c>
    </row>
    <row r="30" spans="1:12" ht="23.25">
      <c r="B30" s="138" t="s">
        <v>147</v>
      </c>
      <c r="C30" s="138"/>
      <c r="D30" s="138"/>
      <c r="E30" s="78">
        <v>0.94</v>
      </c>
      <c r="F30" s="155" t="s">
        <v>148</v>
      </c>
      <c r="G30" s="105"/>
      <c r="H30" s="105"/>
      <c r="I30" s="80" t="str">
        <f>VLOOKUP(TRUE,data!K17:L30,2,FALSE)</f>
        <v>F</v>
      </c>
    </row>
    <row r="32" spans="1:12" ht="18">
      <c r="F32" s="81"/>
      <c r="G32" s="81"/>
      <c r="H32" s="81"/>
    </row>
  </sheetData>
  <mergeCells count="20">
    <mergeCell ref="B30:D30"/>
    <mergeCell ref="F30:H30"/>
    <mergeCell ref="B15:D15"/>
    <mergeCell ref="F15:H15"/>
    <mergeCell ref="B17:D17"/>
    <mergeCell ref="F17:H17"/>
    <mergeCell ref="B19:D19"/>
    <mergeCell ref="B23:D23"/>
    <mergeCell ref="F23:H23"/>
    <mergeCell ref="B25:D25"/>
    <mergeCell ref="B27:D27"/>
    <mergeCell ref="F27:H27"/>
    <mergeCell ref="B28:D28"/>
    <mergeCell ref="F28:H28"/>
    <mergeCell ref="F6:H6"/>
    <mergeCell ref="F7:H7"/>
    <mergeCell ref="B9:D9"/>
    <mergeCell ref="H9:J9"/>
    <mergeCell ref="B10:D10"/>
    <mergeCell ref="H10:J10"/>
  </mergeCells>
  <conditionalFormatting sqref="I30">
    <cfRule type="cellIs" dxfId="6" priority="1" operator="equal">
      <formula>"A"</formula>
    </cfRule>
    <cfRule type="cellIs" dxfId="5" priority="2" operator="equal">
      <formula>"B"</formula>
    </cfRule>
    <cfRule type="cellIs" dxfId="4" priority="3" operator="equal">
      <formula>"C"</formula>
    </cfRule>
    <cfRule type="cellIs" dxfId="3" priority="4" operator="equal">
      <formula>"D"</formula>
    </cfRule>
    <cfRule type="cellIs" dxfId="2" priority="5" operator="equal">
      <formula>"E"</formula>
    </cfRule>
    <cfRule type="cellIs" dxfId="1" priority="6" operator="equal">
      <formula>"F"</formula>
    </cfRule>
    <cfRule type="cellIs" dxfId="0" priority="7" operator="equal">
      <formula>"G"</formula>
    </cfRule>
  </conditionalFormatting>
  <dataValidations count="3">
    <dataValidation allowBlank="1" showErrorMessage="1" promptTitle="نوع وسیله گاز " prompt="لطفا نوع وسیله گاز سوز انتخاب گردد" sqref="B8:B11"/>
    <dataValidation type="list" allowBlank="1" showInputMessage="1" showErrorMessage="1" promptTitle="نوع وسیله گاز " prompt="لطفا نوع وسیله گاز سوز انتخاب گردد" sqref="B7">
      <formula1>$O$12:$O$14</formula1>
    </dataValidation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rightToLeft="1" workbookViewId="0"/>
  </sheetViews>
  <sheetFormatPr defaultRowHeight="14.25"/>
  <sheetData/>
  <pageMargins left="0.7" right="0.7" top="0.75" bottom="0.75" header="0.3" footer="0.3"/>
  <drawing r:id="rId1"/>
  <picture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GridLines="0" showRowColHeaders="0" rightToLeft="1" workbookViewId="0"/>
  </sheetViews>
  <sheetFormatPr defaultColWidth="14.25" defaultRowHeight="15" customHeight="1"/>
  <cols>
    <col min="1" max="1" width="10" style="26" customWidth="1"/>
    <col min="2" max="2" width="7.875" style="26" customWidth="1"/>
    <col min="3" max="17" width="10" style="26" customWidth="1"/>
    <col min="18" max="16384" width="14.25" style="26"/>
  </cols>
  <sheetData>
    <row r="1" spans="1:17" ht="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31.5" customHeight="1" thickBot="1">
      <c r="A2" s="27"/>
      <c r="B2" s="72" t="s">
        <v>82</v>
      </c>
      <c r="C2" s="67" t="s">
        <v>30</v>
      </c>
      <c r="D2" s="30"/>
      <c r="E2" s="30"/>
      <c r="F2" s="30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9.5" thickBot="1">
      <c r="A3" s="31"/>
      <c r="B3" s="162" t="s">
        <v>83</v>
      </c>
      <c r="C3" s="163"/>
      <c r="D3" s="163"/>
      <c r="E3" s="163"/>
      <c r="F3" s="163"/>
      <c r="G3" s="163"/>
      <c r="H3" s="163"/>
      <c r="I3" s="164"/>
      <c r="J3" s="96"/>
      <c r="L3" s="27"/>
      <c r="M3" s="27"/>
      <c r="N3" s="27"/>
      <c r="O3" s="27"/>
      <c r="P3" s="27"/>
      <c r="Q3" s="27"/>
    </row>
    <row r="4" spans="1:17" ht="34.5" customHeight="1">
      <c r="A4" s="27"/>
      <c r="B4" s="158" t="s">
        <v>84</v>
      </c>
      <c r="C4" s="158" t="s">
        <v>85</v>
      </c>
      <c r="D4" s="90" t="s">
        <v>158</v>
      </c>
      <c r="E4" s="92" t="s">
        <v>159</v>
      </c>
      <c r="F4" s="95" t="s">
        <v>160</v>
      </c>
      <c r="G4" s="94" t="s">
        <v>161</v>
      </c>
      <c r="H4" s="160" t="s">
        <v>17</v>
      </c>
      <c r="I4" s="97" t="s">
        <v>109</v>
      </c>
      <c r="P4" s="27"/>
      <c r="Q4" s="27"/>
    </row>
    <row r="5" spans="1:17" ht="15.75" thickBot="1">
      <c r="A5" s="27"/>
      <c r="B5" s="159"/>
      <c r="C5" s="159"/>
      <c r="D5" s="91" t="s">
        <v>112</v>
      </c>
      <c r="E5" s="93" t="s">
        <v>112</v>
      </c>
      <c r="F5" s="93" t="s">
        <v>112</v>
      </c>
      <c r="G5" s="93" t="s">
        <v>112</v>
      </c>
      <c r="H5" s="161"/>
      <c r="I5" s="98" t="s">
        <v>162</v>
      </c>
      <c r="P5" s="27"/>
      <c r="Q5" s="27"/>
    </row>
    <row r="6" spans="1:17" ht="21" customHeight="1" thickBot="1">
      <c r="A6" s="27"/>
      <c r="B6" s="89" t="str">
        <f>IF(E84=TRUE,"سوم",IF(D84=TRUE,"دوم",IF(C84=TRUE,"اول","")))</f>
        <v>سوم</v>
      </c>
      <c r="C6" s="89" t="str">
        <f>IF(C2="G32","3B/P &amp; 3B",IF(C2="G31","3B/P &amp; 3B",IF(C2="G30","3B/P",IF(C2="G231","E",IF(C2="G27","L",IF(C2="G26","L",IF(C2="G25","L",IF(C2="G23","H",IF(C2="G222","H &amp; E",IF(C2="G21","H &amp; E",IF(C2="G20","H &amp; E",IF(C2="G112","a",IF(C2="G110","a","")))))))))))))</f>
        <v>3B/P &amp; 3B</v>
      </c>
      <c r="D6" s="68">
        <f>VLOOKUP(C2,E23:P78,5,TRUE)</f>
        <v>88</v>
      </c>
      <c r="E6" s="68">
        <f>VLOOKUP(C2,E23:P78,7,TRUE)</f>
        <v>95.65</v>
      </c>
      <c r="F6" s="68">
        <f>VLOOKUP(C2,E23:P78,4,TRUE)</f>
        <v>70.69</v>
      </c>
      <c r="G6" s="68">
        <f>VLOOKUP(C2,E23:P78,6,TRUE)</f>
        <v>76.84</v>
      </c>
      <c r="H6" s="69">
        <f>VLOOKUP(C2,E23:P78,8,TRUE)</f>
        <v>1.5549999999999999</v>
      </c>
      <c r="I6" s="68">
        <f>IF(VLOOKUP(C2,E23:P78,9,TRUE)=0,"",VLOOKUP(C2,E23:P78,9,TRUE))</f>
        <v>13.7</v>
      </c>
      <c r="P6" s="27"/>
      <c r="Q6" s="27"/>
    </row>
    <row r="7" spans="1:17" ht="15.75" thickBot="1">
      <c r="A7" s="27"/>
      <c r="L7" s="27"/>
      <c r="M7" s="27"/>
      <c r="N7" s="27"/>
      <c r="O7" s="27"/>
      <c r="P7" s="27"/>
      <c r="Q7" s="27"/>
    </row>
    <row r="8" spans="1:17" ht="19.5" thickBot="1">
      <c r="A8" s="27"/>
      <c r="B8" s="165" t="s">
        <v>93</v>
      </c>
      <c r="C8" s="166"/>
      <c r="D8" s="166"/>
      <c r="E8" s="166"/>
      <c r="F8" s="166"/>
      <c r="G8" s="166"/>
      <c r="H8" s="167"/>
      <c r="L8" s="27"/>
      <c r="Q8" s="27"/>
    </row>
    <row r="9" spans="1:17" ht="15.75" thickBot="1">
      <c r="A9" s="27"/>
      <c r="B9" s="41" t="s">
        <v>94</v>
      </c>
      <c r="C9" s="41" t="s">
        <v>95</v>
      </c>
      <c r="D9" s="41" t="s">
        <v>96</v>
      </c>
      <c r="E9" s="41" t="s">
        <v>97</v>
      </c>
      <c r="F9" s="41" t="s">
        <v>98</v>
      </c>
      <c r="G9" s="41" t="s">
        <v>99</v>
      </c>
      <c r="H9" s="41" t="s">
        <v>100</v>
      </c>
      <c r="I9" s="27"/>
      <c r="J9" s="27"/>
      <c r="K9" s="27"/>
      <c r="L9" s="27"/>
      <c r="Q9" s="27"/>
    </row>
    <row r="10" spans="1:17" ht="16.5" thickBot="1">
      <c r="A10" s="27"/>
      <c r="B10" s="71" t="str">
        <f>IF(C2="G231",F60,IF(C2="G26",F45,IF(C2="G27",F48,IF(C2="G25",F42,IF(C2="G23",F39,IF(C2="G222",F36,IF(C2="G21",F33,IF(C2="G20",F30,IF(C2="G112",F26,IF(C2="G110",F23,"-"))))))))))</f>
        <v>-</v>
      </c>
      <c r="C10" s="71" t="str">
        <f>IF(C2="G32",F72,"-")</f>
        <v>-</v>
      </c>
      <c r="D10" s="71">
        <f>IF(C2="G31",F75,IF(C2="G26",F72,IF(C2="G21",F55,"-")))</f>
        <v>100</v>
      </c>
      <c r="E10" s="71" t="str">
        <f>IF(C2="G30",50,"-")</f>
        <v>-</v>
      </c>
      <c r="F10" s="71" t="str">
        <f>IF(C2="G30",50,"-")</f>
        <v>-</v>
      </c>
      <c r="G10" s="71" t="str">
        <f>IF(C2="G25",F43,IF(C2="G222",F37,IF(C2="G112",F27,IF(C2="G110",F24,"-"))))</f>
        <v>-</v>
      </c>
      <c r="H10" s="71" t="str">
        <f>IF(C2="G231",15,IF(C2="G27",F50,IF(C2="G26",F47,IF(C2="G23",F41,IF(C2="G112",F28,IF(C2="G110",F25,"-"))))))</f>
        <v>-</v>
      </c>
      <c r="I10" s="27"/>
      <c r="J10" s="27"/>
      <c r="K10" s="27"/>
      <c r="L10" s="27"/>
      <c r="Q10" s="27"/>
    </row>
    <row r="11" spans="1:17" ht="15.75" thickBot="1">
      <c r="A11" s="27"/>
      <c r="I11" s="27"/>
      <c r="J11" s="27"/>
      <c r="K11" s="27"/>
      <c r="L11" s="27"/>
      <c r="P11" s="27"/>
      <c r="Q11" s="27"/>
    </row>
    <row r="12" spans="1:17" ht="19.5" thickBot="1">
      <c r="A12" s="27"/>
      <c r="B12" s="165" t="s">
        <v>14</v>
      </c>
      <c r="C12" s="166"/>
      <c r="D12" s="166"/>
      <c r="E12" s="167"/>
      <c r="I12" s="27"/>
      <c r="J12" s="27"/>
      <c r="K12" s="27"/>
      <c r="L12" s="27"/>
      <c r="P12" s="27"/>
      <c r="Q12" s="27"/>
    </row>
    <row r="13" spans="1:17" ht="19.5" thickBot="1">
      <c r="A13" s="27"/>
      <c r="B13" s="36" t="s">
        <v>89</v>
      </c>
      <c r="C13" s="36" t="s">
        <v>90</v>
      </c>
      <c r="D13" s="36" t="s">
        <v>91</v>
      </c>
      <c r="E13" s="36" t="s">
        <v>92</v>
      </c>
      <c r="I13" s="27"/>
      <c r="J13" s="27"/>
      <c r="K13" s="27"/>
      <c r="L13" s="27"/>
      <c r="P13" s="27"/>
      <c r="Q13" s="27"/>
    </row>
    <row r="14" spans="1:17" ht="16.5" thickBot="1">
      <c r="A14" s="27"/>
      <c r="B14" s="70" t="str">
        <f>IF(C2="G31","#",IF(C2="G30","#",IF(C2="G25","#",IF(C2="G20","#",""))))</f>
        <v>#</v>
      </c>
      <c r="C14" s="70" t="str">
        <f>IF(C2="G32","#",IF(C2="31","#",IF(C2="G110","#",IF(C2="G21","#",IF(C2="G26","#",IF(C2="G30","#",""))))))</f>
        <v/>
      </c>
      <c r="D14" s="70" t="str">
        <f>IF(C2="G31","#",IF(C2="G110","#",IF(C2="G23","#",IF(C2="G27","#",IF(C2="G231","#","")))))</f>
        <v>#</v>
      </c>
      <c r="E14" s="70" t="str">
        <f>IF(C2="G112","#",IF(C2="G222","#",IF(C2="G25","#",IF(C2="G32","#",""))))</f>
        <v/>
      </c>
      <c r="F14" s="27"/>
      <c r="G14" s="27"/>
      <c r="H14" s="27"/>
      <c r="I14" s="27"/>
      <c r="J14" s="27"/>
      <c r="K14" s="27"/>
      <c r="L14" s="27"/>
      <c r="P14" s="27"/>
      <c r="Q14" s="27"/>
    </row>
    <row r="15" spans="1:17" ht="16.5" thickBot="1">
      <c r="A15" s="27"/>
      <c r="B15" s="99"/>
      <c r="C15" s="99"/>
      <c r="D15" s="99"/>
      <c r="E15" s="99"/>
      <c r="F15" s="27"/>
      <c r="G15" s="27"/>
      <c r="H15" s="27"/>
      <c r="I15" s="27"/>
      <c r="J15" s="27"/>
      <c r="K15" s="27"/>
      <c r="L15" s="27"/>
      <c r="M15" s="100"/>
      <c r="N15" s="100"/>
      <c r="O15" s="100"/>
      <c r="P15" s="27"/>
      <c r="Q15" s="27"/>
    </row>
    <row r="16" spans="1:17" ht="19.5" thickBot="1">
      <c r="A16" s="27"/>
      <c r="B16" s="165" t="s">
        <v>110</v>
      </c>
      <c r="C16" s="166"/>
      <c r="D16" s="167"/>
      <c r="E16" s="99"/>
      <c r="F16" s="27"/>
      <c r="G16" s="27"/>
      <c r="H16" s="27"/>
      <c r="I16" s="27"/>
      <c r="J16" s="27"/>
      <c r="K16" s="27"/>
      <c r="L16" s="27"/>
      <c r="M16" s="100"/>
      <c r="N16" s="100"/>
      <c r="O16" s="100"/>
      <c r="P16" s="27"/>
      <c r="Q16" s="27"/>
    </row>
    <row r="17" spans="1:17" ht="19.5" thickBot="1">
      <c r="A17" s="27"/>
      <c r="B17" s="42" t="s">
        <v>101</v>
      </c>
      <c r="C17" s="42" t="s">
        <v>102</v>
      </c>
      <c r="D17" s="42" t="s">
        <v>103</v>
      </c>
      <c r="E17" s="99"/>
      <c r="F17" s="27"/>
      <c r="G17" s="27"/>
      <c r="H17" s="27"/>
      <c r="I17" s="27"/>
      <c r="J17" s="27"/>
      <c r="K17" s="27"/>
      <c r="L17" s="27"/>
      <c r="M17" s="100"/>
      <c r="N17" s="100"/>
      <c r="O17" s="100"/>
      <c r="P17" s="27"/>
      <c r="Q17" s="27"/>
    </row>
    <row r="18" spans="1:17" ht="16.5" thickBot="1">
      <c r="A18" s="27"/>
      <c r="B18" s="68">
        <f>VLOOKUP(C2,A23:P78,14,TRUE)</f>
        <v>29</v>
      </c>
      <c r="C18" s="68">
        <f>VLOOKUP(C2,A23:P78,15,TRUE)</f>
        <v>25</v>
      </c>
      <c r="D18" s="68">
        <f>VLOOKUP(C2,A23:P78,16,TRUE)</f>
        <v>35</v>
      </c>
      <c r="E18" s="99"/>
      <c r="F18" s="27"/>
      <c r="G18" s="27"/>
      <c r="H18" s="27"/>
      <c r="I18" s="27"/>
      <c r="J18" s="27"/>
      <c r="K18" s="27"/>
      <c r="L18" s="27"/>
      <c r="M18" s="100"/>
      <c r="N18" s="100"/>
      <c r="O18" s="100"/>
      <c r="P18" s="27"/>
      <c r="Q18" s="27"/>
    </row>
    <row r="19" spans="1:17" ht="15.75">
      <c r="A19" s="27"/>
      <c r="B19" s="99"/>
      <c r="C19" s="99"/>
      <c r="D19" s="99"/>
      <c r="E19" s="99"/>
      <c r="F19" s="27"/>
      <c r="G19" s="27"/>
      <c r="H19" s="27"/>
      <c r="I19" s="27"/>
      <c r="J19" s="27"/>
      <c r="K19" s="27"/>
      <c r="L19" s="27"/>
      <c r="M19" s="100"/>
      <c r="N19" s="100"/>
      <c r="O19" s="100"/>
      <c r="P19" s="27"/>
      <c r="Q19" s="27"/>
    </row>
    <row r="20" spans="1:17" hidden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8.75" hidden="1">
      <c r="A21" s="177" t="s">
        <v>104</v>
      </c>
      <c r="B21" s="177" t="s">
        <v>84</v>
      </c>
      <c r="C21" s="177" t="s">
        <v>85</v>
      </c>
      <c r="D21" s="177" t="s">
        <v>14</v>
      </c>
      <c r="E21" s="177" t="s">
        <v>104</v>
      </c>
      <c r="F21" s="191" t="s">
        <v>93</v>
      </c>
      <c r="G21" s="187"/>
      <c r="H21" s="43" t="s">
        <v>105</v>
      </c>
      <c r="I21" s="44" t="s">
        <v>106</v>
      </c>
      <c r="J21" s="44" t="s">
        <v>107</v>
      </c>
      <c r="K21" s="44" t="s">
        <v>108</v>
      </c>
      <c r="L21" s="177" t="s">
        <v>17</v>
      </c>
      <c r="M21" s="44" t="s">
        <v>109</v>
      </c>
      <c r="N21" s="185" t="s">
        <v>110</v>
      </c>
      <c r="O21" s="186"/>
      <c r="P21" s="187"/>
      <c r="Q21" s="27"/>
    </row>
    <row r="22" spans="1:17" ht="15.75" hidden="1" thickBot="1">
      <c r="A22" s="170"/>
      <c r="B22" s="170"/>
      <c r="C22" s="170"/>
      <c r="D22" s="170"/>
      <c r="E22" s="170"/>
      <c r="F22" s="188" t="s">
        <v>111</v>
      </c>
      <c r="G22" s="189"/>
      <c r="H22" s="45" t="s">
        <v>112</v>
      </c>
      <c r="I22" s="45" t="s">
        <v>112</v>
      </c>
      <c r="J22" s="45" t="s">
        <v>112</v>
      </c>
      <c r="K22" s="45" t="s">
        <v>112</v>
      </c>
      <c r="L22" s="170"/>
      <c r="M22" s="46" t="s">
        <v>111</v>
      </c>
      <c r="N22" s="46" t="s">
        <v>113</v>
      </c>
      <c r="O22" s="46" t="s">
        <v>114</v>
      </c>
      <c r="P22" s="46" t="s">
        <v>115</v>
      </c>
      <c r="Q22" s="27"/>
    </row>
    <row r="23" spans="1:17" ht="19.5" hidden="1" thickTop="1">
      <c r="A23" s="184" t="s">
        <v>116</v>
      </c>
      <c r="B23" s="181" t="s">
        <v>117</v>
      </c>
      <c r="C23" s="168" t="s">
        <v>118</v>
      </c>
      <c r="D23" s="47" t="s">
        <v>119</v>
      </c>
      <c r="E23" s="168" t="s">
        <v>116</v>
      </c>
      <c r="F23" s="48">
        <v>26</v>
      </c>
      <c r="G23" s="48" t="s">
        <v>94</v>
      </c>
      <c r="H23" s="168">
        <v>21.76</v>
      </c>
      <c r="I23" s="168">
        <v>13.95</v>
      </c>
      <c r="J23" s="168">
        <v>24.75</v>
      </c>
      <c r="K23" s="168">
        <v>15.87</v>
      </c>
      <c r="L23" s="183">
        <v>0.41099999999999998</v>
      </c>
      <c r="M23" s="184">
        <v>7.6</v>
      </c>
      <c r="N23" s="184">
        <v>8</v>
      </c>
      <c r="O23" s="184">
        <v>6</v>
      </c>
      <c r="P23" s="184">
        <v>15</v>
      </c>
      <c r="Q23" s="27"/>
    </row>
    <row r="24" spans="1:17" ht="18.75" hidden="1">
      <c r="A24" s="169"/>
      <c r="B24" s="169"/>
      <c r="C24" s="169"/>
      <c r="D24" s="43" t="s">
        <v>91</v>
      </c>
      <c r="E24" s="169"/>
      <c r="F24" s="49">
        <v>50</v>
      </c>
      <c r="G24" s="49" t="s">
        <v>99</v>
      </c>
      <c r="H24" s="169"/>
      <c r="I24" s="169"/>
      <c r="J24" s="169"/>
      <c r="K24" s="169"/>
      <c r="L24" s="173"/>
      <c r="M24" s="169"/>
      <c r="N24" s="169"/>
      <c r="O24" s="169"/>
      <c r="P24" s="169"/>
      <c r="Q24" s="27"/>
    </row>
    <row r="25" spans="1:17" ht="19.5" hidden="1" thickBot="1">
      <c r="A25" s="169"/>
      <c r="B25" s="169"/>
      <c r="C25" s="169"/>
      <c r="D25" s="50" t="s">
        <v>90</v>
      </c>
      <c r="E25" s="171"/>
      <c r="F25" s="51">
        <v>24</v>
      </c>
      <c r="G25" s="51" t="s">
        <v>100</v>
      </c>
      <c r="H25" s="171"/>
      <c r="I25" s="171"/>
      <c r="J25" s="171"/>
      <c r="K25" s="171"/>
      <c r="L25" s="174"/>
      <c r="M25" s="171"/>
      <c r="N25" s="171"/>
      <c r="O25" s="171"/>
      <c r="P25" s="171"/>
      <c r="Q25" s="27"/>
    </row>
    <row r="26" spans="1:17" ht="15.75" hidden="1" customHeight="1">
      <c r="A26" s="168" t="s">
        <v>120</v>
      </c>
      <c r="B26" s="169"/>
      <c r="C26" s="169"/>
      <c r="D26" s="47" t="s">
        <v>119</v>
      </c>
      <c r="E26" s="168" t="s">
        <v>120</v>
      </c>
      <c r="F26" s="48">
        <v>17</v>
      </c>
      <c r="G26" s="48" t="s">
        <v>94</v>
      </c>
      <c r="H26" s="168">
        <v>19.48</v>
      </c>
      <c r="I26" s="168">
        <v>11.81</v>
      </c>
      <c r="J26" s="168">
        <v>22.36</v>
      </c>
      <c r="K26" s="168">
        <v>13.56</v>
      </c>
      <c r="L26" s="172">
        <v>0.36699999999999999</v>
      </c>
      <c r="M26" s="168"/>
      <c r="N26" s="168">
        <v>8</v>
      </c>
      <c r="O26" s="168">
        <v>6</v>
      </c>
      <c r="P26" s="168">
        <v>15</v>
      </c>
      <c r="Q26" s="27"/>
    </row>
    <row r="27" spans="1:17" ht="15.75" hidden="1" customHeight="1">
      <c r="A27" s="169"/>
      <c r="B27" s="169"/>
      <c r="C27" s="169"/>
      <c r="D27" s="43" t="s">
        <v>121</v>
      </c>
      <c r="E27" s="169"/>
      <c r="F27" s="49">
        <v>59</v>
      </c>
      <c r="G27" s="49" t="s">
        <v>99</v>
      </c>
      <c r="H27" s="169"/>
      <c r="I27" s="169"/>
      <c r="J27" s="169"/>
      <c r="K27" s="169"/>
      <c r="L27" s="173"/>
      <c r="M27" s="169"/>
      <c r="N27" s="169"/>
      <c r="O27" s="169"/>
      <c r="P27" s="169"/>
      <c r="Q27" s="27"/>
    </row>
    <row r="28" spans="1:17" ht="15.75" hidden="1" customHeight="1">
      <c r="A28" s="182"/>
      <c r="B28" s="182"/>
      <c r="C28" s="182"/>
      <c r="D28" s="52"/>
      <c r="E28" s="182"/>
      <c r="F28" s="49">
        <v>24</v>
      </c>
      <c r="G28" s="49" t="s">
        <v>100</v>
      </c>
      <c r="H28" s="182"/>
      <c r="I28" s="182"/>
      <c r="J28" s="182"/>
      <c r="K28" s="182"/>
      <c r="L28" s="190"/>
      <c r="M28" s="182"/>
      <c r="N28" s="182"/>
      <c r="O28" s="182"/>
      <c r="P28" s="182"/>
      <c r="Q28" s="27"/>
    </row>
    <row r="29" spans="1:17" ht="6" hidden="1" customHeight="1" thickBo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4"/>
      <c r="O29" s="54"/>
      <c r="P29" s="54"/>
      <c r="Q29" s="27"/>
    </row>
    <row r="30" spans="1:17" ht="18.75" hidden="1" customHeight="1">
      <c r="A30" s="168" t="s">
        <v>27</v>
      </c>
      <c r="B30" s="181" t="s">
        <v>122</v>
      </c>
      <c r="C30" s="168" t="s">
        <v>123</v>
      </c>
      <c r="D30" s="181" t="s">
        <v>124</v>
      </c>
      <c r="E30" s="168" t="s">
        <v>27</v>
      </c>
      <c r="F30" s="48">
        <v>100</v>
      </c>
      <c r="G30" s="48" t="s">
        <v>94</v>
      </c>
      <c r="H30" s="168">
        <v>46.67</v>
      </c>
      <c r="I30" s="168">
        <v>34.020000000000003</v>
      </c>
      <c r="J30" s="168">
        <v>50.72</v>
      </c>
      <c r="K30" s="168">
        <v>37.78</v>
      </c>
      <c r="L30" s="172">
        <v>0.55500000000000005</v>
      </c>
      <c r="M30" s="168">
        <v>11.7</v>
      </c>
      <c r="N30" s="168">
        <v>20</v>
      </c>
      <c r="O30" s="168">
        <v>17</v>
      </c>
      <c r="P30" s="168">
        <v>25</v>
      </c>
      <c r="Q30" s="27"/>
    </row>
    <row r="31" spans="1:17" ht="15.75" hidden="1" customHeight="1">
      <c r="A31" s="169"/>
      <c r="B31" s="169"/>
      <c r="C31" s="169"/>
      <c r="D31" s="169"/>
      <c r="E31" s="169"/>
      <c r="F31" s="55">
        <v>0</v>
      </c>
      <c r="G31" s="49" t="s">
        <v>99</v>
      </c>
      <c r="H31" s="169"/>
      <c r="I31" s="169"/>
      <c r="J31" s="169"/>
      <c r="K31" s="169"/>
      <c r="L31" s="173"/>
      <c r="M31" s="169"/>
      <c r="N31" s="169"/>
      <c r="O31" s="169"/>
      <c r="P31" s="169"/>
      <c r="Q31" s="27"/>
    </row>
    <row r="32" spans="1:17" ht="15.75" hidden="1" customHeight="1" thickBot="1">
      <c r="A32" s="171"/>
      <c r="B32" s="169"/>
      <c r="C32" s="169"/>
      <c r="D32" s="171"/>
      <c r="E32" s="171"/>
      <c r="F32" s="56">
        <v>0</v>
      </c>
      <c r="G32" s="51" t="s">
        <v>100</v>
      </c>
      <c r="H32" s="171"/>
      <c r="I32" s="171"/>
      <c r="J32" s="171"/>
      <c r="K32" s="171"/>
      <c r="L32" s="174"/>
      <c r="M32" s="171"/>
      <c r="N32" s="171"/>
      <c r="O32" s="171"/>
      <c r="P32" s="171"/>
      <c r="Q32" s="27"/>
    </row>
    <row r="33" spans="1:17" ht="18.75" hidden="1">
      <c r="A33" s="168" t="s">
        <v>125</v>
      </c>
      <c r="B33" s="169"/>
      <c r="C33" s="169"/>
      <c r="D33" s="47" t="s">
        <v>119</v>
      </c>
      <c r="E33" s="168" t="s">
        <v>125</v>
      </c>
      <c r="F33" s="48">
        <v>87</v>
      </c>
      <c r="G33" s="48" t="s">
        <v>94</v>
      </c>
      <c r="H33" s="168">
        <v>49.6</v>
      </c>
      <c r="I33" s="168">
        <v>41.01</v>
      </c>
      <c r="J33" s="168">
        <v>54.76</v>
      </c>
      <c r="K33" s="168">
        <v>45.28</v>
      </c>
      <c r="L33" s="172">
        <v>0.68400000000000005</v>
      </c>
      <c r="M33" s="168">
        <v>12.2</v>
      </c>
      <c r="N33" s="168">
        <v>20</v>
      </c>
      <c r="O33" s="168">
        <v>17</v>
      </c>
      <c r="P33" s="168">
        <v>25</v>
      </c>
      <c r="Q33" s="27"/>
    </row>
    <row r="34" spans="1:17" ht="18.75" hidden="1">
      <c r="A34" s="169"/>
      <c r="B34" s="169"/>
      <c r="C34" s="169"/>
      <c r="D34" s="43" t="s">
        <v>90</v>
      </c>
      <c r="E34" s="169"/>
      <c r="F34" s="55">
        <v>13</v>
      </c>
      <c r="G34" s="49" t="s">
        <v>96</v>
      </c>
      <c r="H34" s="169"/>
      <c r="I34" s="169"/>
      <c r="J34" s="169"/>
      <c r="K34" s="169"/>
      <c r="L34" s="173"/>
      <c r="M34" s="169"/>
      <c r="N34" s="169"/>
      <c r="O34" s="169"/>
      <c r="P34" s="169"/>
      <c r="Q34" s="27"/>
    </row>
    <row r="35" spans="1:17" ht="19.5" hidden="1" thickBot="1">
      <c r="A35" s="171"/>
      <c r="B35" s="169"/>
      <c r="C35" s="169"/>
      <c r="D35" s="50"/>
      <c r="E35" s="171"/>
      <c r="F35" s="56">
        <v>0</v>
      </c>
      <c r="G35" s="51" t="s">
        <v>100</v>
      </c>
      <c r="H35" s="171"/>
      <c r="I35" s="171"/>
      <c r="J35" s="171"/>
      <c r="K35" s="171"/>
      <c r="L35" s="174"/>
      <c r="M35" s="171"/>
      <c r="N35" s="171"/>
      <c r="O35" s="171"/>
      <c r="P35" s="171"/>
      <c r="Q35" s="27"/>
    </row>
    <row r="36" spans="1:17" ht="18.75" hidden="1">
      <c r="A36" s="168" t="s">
        <v>126</v>
      </c>
      <c r="B36" s="169"/>
      <c r="C36" s="169"/>
      <c r="D36" s="47" t="s">
        <v>119</v>
      </c>
      <c r="E36" s="168" t="s">
        <v>126</v>
      </c>
      <c r="F36" s="57">
        <v>77</v>
      </c>
      <c r="G36" s="48" t="s">
        <v>94</v>
      </c>
      <c r="H36" s="168">
        <v>42.87</v>
      </c>
      <c r="I36" s="168">
        <v>28.53</v>
      </c>
      <c r="J36" s="168">
        <v>47.87</v>
      </c>
      <c r="K36" s="168">
        <v>31.86</v>
      </c>
      <c r="L36" s="172">
        <v>0.443</v>
      </c>
      <c r="M36" s="168"/>
      <c r="N36" s="168">
        <v>20</v>
      </c>
      <c r="O36" s="168">
        <v>17</v>
      </c>
      <c r="P36" s="168">
        <v>25</v>
      </c>
      <c r="Q36" s="27"/>
    </row>
    <row r="37" spans="1:17" ht="15.75" hidden="1" customHeight="1">
      <c r="A37" s="169"/>
      <c r="B37" s="169"/>
      <c r="C37" s="169"/>
      <c r="D37" s="43" t="s">
        <v>121</v>
      </c>
      <c r="E37" s="169"/>
      <c r="F37" s="55">
        <v>23</v>
      </c>
      <c r="G37" s="49" t="s">
        <v>99</v>
      </c>
      <c r="H37" s="169"/>
      <c r="I37" s="169"/>
      <c r="J37" s="169"/>
      <c r="K37" s="169"/>
      <c r="L37" s="173"/>
      <c r="M37" s="169"/>
      <c r="N37" s="169"/>
      <c r="O37" s="169"/>
      <c r="P37" s="169"/>
      <c r="Q37" s="27"/>
    </row>
    <row r="38" spans="1:17" ht="15.75" hidden="1" customHeight="1" thickBot="1">
      <c r="A38" s="171"/>
      <c r="B38" s="169"/>
      <c r="C38" s="169"/>
      <c r="D38" s="50"/>
      <c r="E38" s="171"/>
      <c r="F38" s="56">
        <v>0</v>
      </c>
      <c r="G38" s="51" t="s">
        <v>100</v>
      </c>
      <c r="H38" s="171"/>
      <c r="I38" s="171"/>
      <c r="J38" s="171"/>
      <c r="K38" s="171"/>
      <c r="L38" s="174"/>
      <c r="M38" s="171"/>
      <c r="N38" s="171"/>
      <c r="O38" s="171"/>
      <c r="P38" s="171"/>
      <c r="Q38" s="27"/>
    </row>
    <row r="39" spans="1:17" ht="15.75" hidden="1" customHeight="1">
      <c r="A39" s="168" t="s">
        <v>127</v>
      </c>
      <c r="B39" s="169"/>
      <c r="C39" s="169"/>
      <c r="D39" s="47" t="s">
        <v>119</v>
      </c>
      <c r="E39" s="168" t="s">
        <v>127</v>
      </c>
      <c r="F39" s="57">
        <v>92.5</v>
      </c>
      <c r="G39" s="48" t="s">
        <v>94</v>
      </c>
      <c r="H39" s="168">
        <v>41.11</v>
      </c>
      <c r="I39" s="168">
        <v>31.46</v>
      </c>
      <c r="J39" s="168">
        <v>45.66</v>
      </c>
      <c r="K39" s="168">
        <v>34.950000000000003</v>
      </c>
      <c r="L39" s="172">
        <v>0.58599999999999997</v>
      </c>
      <c r="M39" s="168"/>
      <c r="N39" s="168">
        <v>20</v>
      </c>
      <c r="O39" s="168">
        <v>17</v>
      </c>
      <c r="P39" s="168">
        <v>25</v>
      </c>
      <c r="Q39" s="27"/>
    </row>
    <row r="40" spans="1:17" ht="15.75" hidden="1" customHeight="1">
      <c r="A40" s="169"/>
      <c r="B40" s="169"/>
      <c r="C40" s="169"/>
      <c r="D40" s="43" t="s">
        <v>91</v>
      </c>
      <c r="E40" s="169"/>
      <c r="F40" s="55">
        <v>0</v>
      </c>
      <c r="G40" s="49" t="s">
        <v>99</v>
      </c>
      <c r="H40" s="169"/>
      <c r="I40" s="169"/>
      <c r="J40" s="169"/>
      <c r="K40" s="169"/>
      <c r="L40" s="173"/>
      <c r="M40" s="169"/>
      <c r="N40" s="169"/>
      <c r="O40" s="169"/>
      <c r="P40" s="169"/>
      <c r="Q40" s="27"/>
    </row>
    <row r="41" spans="1:17" ht="15.75" hidden="1" customHeight="1" thickBot="1">
      <c r="A41" s="170"/>
      <c r="B41" s="169"/>
      <c r="C41" s="170"/>
      <c r="D41" s="58"/>
      <c r="E41" s="170"/>
      <c r="F41" s="46">
        <v>7.5</v>
      </c>
      <c r="G41" s="59" t="s">
        <v>100</v>
      </c>
      <c r="H41" s="170"/>
      <c r="I41" s="170"/>
      <c r="J41" s="170"/>
      <c r="K41" s="170"/>
      <c r="L41" s="175"/>
      <c r="M41" s="170"/>
      <c r="N41" s="170"/>
      <c r="O41" s="170"/>
      <c r="P41" s="170"/>
      <c r="Q41" s="27"/>
    </row>
    <row r="42" spans="1:17" ht="15.75" hidden="1" customHeight="1" thickTop="1">
      <c r="A42" s="168" t="s">
        <v>128</v>
      </c>
      <c r="B42" s="169"/>
      <c r="C42" s="168" t="s">
        <v>129</v>
      </c>
      <c r="D42" s="60" t="s">
        <v>124</v>
      </c>
      <c r="E42" s="168" t="s">
        <v>128</v>
      </c>
      <c r="F42" s="57">
        <v>86</v>
      </c>
      <c r="G42" s="48" t="s">
        <v>94</v>
      </c>
      <c r="H42" s="168">
        <v>37.380000000000003</v>
      </c>
      <c r="I42" s="168">
        <v>29.25</v>
      </c>
      <c r="J42" s="168">
        <v>41.52</v>
      </c>
      <c r="K42" s="168">
        <v>32.49</v>
      </c>
      <c r="L42" s="172">
        <v>0.61199999999999999</v>
      </c>
      <c r="M42" s="168">
        <v>11.5</v>
      </c>
      <c r="N42" s="168">
        <v>25</v>
      </c>
      <c r="O42" s="168">
        <v>20</v>
      </c>
      <c r="P42" s="168">
        <v>30</v>
      </c>
      <c r="Q42" s="27"/>
    </row>
    <row r="43" spans="1:17" ht="15.75" hidden="1" customHeight="1">
      <c r="A43" s="169"/>
      <c r="B43" s="169"/>
      <c r="C43" s="169"/>
      <c r="D43" s="43" t="s">
        <v>119</v>
      </c>
      <c r="E43" s="169"/>
      <c r="F43" s="55">
        <v>14</v>
      </c>
      <c r="G43" s="49" t="s">
        <v>99</v>
      </c>
      <c r="H43" s="169"/>
      <c r="I43" s="169"/>
      <c r="J43" s="169"/>
      <c r="K43" s="169"/>
      <c r="L43" s="173"/>
      <c r="M43" s="169"/>
      <c r="N43" s="169"/>
      <c r="O43" s="169"/>
      <c r="P43" s="169"/>
      <c r="Q43" s="27"/>
    </row>
    <row r="44" spans="1:17" ht="15.75" hidden="1" customHeight="1" thickBot="1">
      <c r="A44" s="171"/>
      <c r="B44" s="169"/>
      <c r="C44" s="169"/>
      <c r="D44" s="50" t="s">
        <v>121</v>
      </c>
      <c r="E44" s="171"/>
      <c r="F44" s="61"/>
      <c r="G44" s="51" t="s">
        <v>100</v>
      </c>
      <c r="H44" s="171"/>
      <c r="I44" s="171"/>
      <c r="J44" s="171"/>
      <c r="K44" s="171"/>
      <c r="L44" s="174"/>
      <c r="M44" s="171"/>
      <c r="N44" s="171"/>
      <c r="O44" s="171"/>
      <c r="P44" s="171"/>
      <c r="Q44" s="27"/>
    </row>
    <row r="45" spans="1:17" ht="15.75" hidden="1" customHeight="1">
      <c r="A45" s="168" t="s">
        <v>130</v>
      </c>
      <c r="B45" s="169"/>
      <c r="C45" s="169"/>
      <c r="D45" s="47" t="s">
        <v>119</v>
      </c>
      <c r="E45" s="168" t="s">
        <v>130</v>
      </c>
      <c r="F45" s="57">
        <v>80</v>
      </c>
      <c r="G45" s="48" t="s">
        <v>94</v>
      </c>
      <c r="H45" s="168">
        <v>40.520000000000003</v>
      </c>
      <c r="I45" s="168">
        <v>33.36</v>
      </c>
      <c r="J45" s="168">
        <v>44.83</v>
      </c>
      <c r="K45" s="168">
        <v>36.909999999999997</v>
      </c>
      <c r="L45" s="172">
        <v>0.67800000000000005</v>
      </c>
      <c r="M45" s="168">
        <v>11.9</v>
      </c>
      <c r="N45" s="168">
        <v>25</v>
      </c>
      <c r="O45" s="168">
        <v>20</v>
      </c>
      <c r="P45" s="168">
        <v>30</v>
      </c>
      <c r="Q45" s="27"/>
    </row>
    <row r="46" spans="1:17" ht="15.75" hidden="1" customHeight="1">
      <c r="A46" s="169"/>
      <c r="B46" s="169"/>
      <c r="C46" s="169"/>
      <c r="D46" s="43" t="s">
        <v>90</v>
      </c>
      <c r="E46" s="169"/>
      <c r="F46" s="55">
        <v>7</v>
      </c>
      <c r="G46" s="49" t="s">
        <v>96</v>
      </c>
      <c r="H46" s="169"/>
      <c r="I46" s="169"/>
      <c r="J46" s="169"/>
      <c r="K46" s="169"/>
      <c r="L46" s="173"/>
      <c r="M46" s="169"/>
      <c r="N46" s="169"/>
      <c r="O46" s="169"/>
      <c r="P46" s="169"/>
      <c r="Q46" s="27"/>
    </row>
    <row r="47" spans="1:17" ht="15.75" hidden="1" customHeight="1" thickBot="1">
      <c r="A47" s="171"/>
      <c r="B47" s="169"/>
      <c r="C47" s="169"/>
      <c r="D47" s="50"/>
      <c r="E47" s="171"/>
      <c r="F47" s="56">
        <v>13</v>
      </c>
      <c r="G47" s="51" t="s">
        <v>100</v>
      </c>
      <c r="H47" s="171"/>
      <c r="I47" s="171"/>
      <c r="J47" s="171"/>
      <c r="K47" s="171"/>
      <c r="L47" s="174"/>
      <c r="M47" s="171"/>
      <c r="N47" s="171"/>
      <c r="O47" s="171"/>
      <c r="P47" s="171"/>
      <c r="Q47" s="27"/>
    </row>
    <row r="48" spans="1:17" ht="15.75" hidden="1" customHeight="1">
      <c r="A48" s="168" t="s">
        <v>131</v>
      </c>
      <c r="B48" s="169"/>
      <c r="C48" s="169"/>
      <c r="D48" s="62" t="s">
        <v>119</v>
      </c>
      <c r="E48" s="168" t="s">
        <v>131</v>
      </c>
      <c r="F48" s="57">
        <v>82</v>
      </c>
      <c r="G48" s="48" t="s">
        <v>94</v>
      </c>
      <c r="H48" s="168">
        <v>35.17</v>
      </c>
      <c r="I48" s="168">
        <v>27.89</v>
      </c>
      <c r="J48" s="168">
        <v>39.06</v>
      </c>
      <c r="K48" s="168">
        <v>30.98</v>
      </c>
      <c r="L48" s="172">
        <v>0.629</v>
      </c>
      <c r="M48" s="168"/>
      <c r="N48" s="168">
        <v>25</v>
      </c>
      <c r="O48" s="168">
        <v>20</v>
      </c>
      <c r="P48" s="168">
        <v>30</v>
      </c>
      <c r="Q48" s="27"/>
    </row>
    <row r="49" spans="1:17" ht="15.75" hidden="1" customHeight="1">
      <c r="A49" s="169"/>
      <c r="B49" s="169"/>
      <c r="C49" s="169"/>
      <c r="D49" s="63" t="s">
        <v>91</v>
      </c>
      <c r="E49" s="169"/>
      <c r="F49" s="55">
        <v>0</v>
      </c>
      <c r="G49" s="49" t="s">
        <v>99</v>
      </c>
      <c r="H49" s="169"/>
      <c r="I49" s="169"/>
      <c r="J49" s="169"/>
      <c r="K49" s="169"/>
      <c r="L49" s="173"/>
      <c r="M49" s="169"/>
      <c r="N49" s="169"/>
      <c r="O49" s="169"/>
      <c r="P49" s="169"/>
      <c r="Q49" s="27"/>
    </row>
    <row r="50" spans="1:17" ht="15.75" hidden="1" customHeight="1" thickBot="1">
      <c r="A50" s="170"/>
      <c r="B50" s="169"/>
      <c r="C50" s="170"/>
      <c r="D50" s="45"/>
      <c r="E50" s="170"/>
      <c r="F50" s="46">
        <v>18</v>
      </c>
      <c r="G50" s="59" t="s">
        <v>100</v>
      </c>
      <c r="H50" s="170"/>
      <c r="I50" s="170"/>
      <c r="J50" s="170"/>
      <c r="K50" s="170"/>
      <c r="L50" s="175"/>
      <c r="M50" s="170"/>
      <c r="N50" s="170"/>
      <c r="O50" s="170"/>
      <c r="P50" s="170"/>
      <c r="Q50" s="27"/>
    </row>
    <row r="51" spans="1:17" ht="15.75" hidden="1" customHeight="1" thickTop="1">
      <c r="A51" s="168" t="s">
        <v>27</v>
      </c>
      <c r="B51" s="169"/>
      <c r="C51" s="168" t="s">
        <v>44</v>
      </c>
      <c r="D51" s="181" t="s">
        <v>124</v>
      </c>
      <c r="E51" s="168" t="s">
        <v>27</v>
      </c>
      <c r="F51" s="48">
        <v>100</v>
      </c>
      <c r="G51" s="48" t="s">
        <v>94</v>
      </c>
      <c r="H51" s="168">
        <v>46.67</v>
      </c>
      <c r="I51" s="168">
        <v>34.020000000000003</v>
      </c>
      <c r="J51" s="168">
        <v>50.72</v>
      </c>
      <c r="K51" s="168">
        <v>37.78</v>
      </c>
      <c r="L51" s="172">
        <v>0.55500000000000005</v>
      </c>
      <c r="M51" s="168">
        <v>11.7</v>
      </c>
      <c r="N51" s="168">
        <v>20</v>
      </c>
      <c r="O51" s="168">
        <v>17</v>
      </c>
      <c r="P51" s="168">
        <v>25</v>
      </c>
      <c r="Q51" s="27"/>
    </row>
    <row r="52" spans="1:17" ht="15.75" hidden="1" customHeight="1">
      <c r="A52" s="169"/>
      <c r="B52" s="169"/>
      <c r="C52" s="169"/>
      <c r="D52" s="169"/>
      <c r="E52" s="169"/>
      <c r="F52" s="55">
        <v>0</v>
      </c>
      <c r="G52" s="49" t="s">
        <v>99</v>
      </c>
      <c r="H52" s="169"/>
      <c r="I52" s="169"/>
      <c r="J52" s="169"/>
      <c r="K52" s="169"/>
      <c r="L52" s="173"/>
      <c r="M52" s="169"/>
      <c r="N52" s="169"/>
      <c r="O52" s="169"/>
      <c r="P52" s="169"/>
      <c r="Q52" s="27"/>
    </row>
    <row r="53" spans="1:17" ht="15.75" hidden="1" customHeight="1" thickBot="1">
      <c r="A53" s="171"/>
      <c r="B53" s="169"/>
      <c r="C53" s="169"/>
      <c r="D53" s="171"/>
      <c r="E53" s="171"/>
      <c r="F53" s="56">
        <v>0</v>
      </c>
      <c r="G53" s="51" t="s">
        <v>100</v>
      </c>
      <c r="H53" s="171"/>
      <c r="I53" s="171"/>
      <c r="J53" s="171"/>
      <c r="K53" s="171"/>
      <c r="L53" s="174"/>
      <c r="M53" s="171"/>
      <c r="N53" s="171"/>
      <c r="O53" s="171"/>
      <c r="P53" s="171"/>
      <c r="Q53" s="27"/>
    </row>
    <row r="54" spans="1:17" ht="15.75" hidden="1" customHeight="1">
      <c r="A54" s="168" t="s">
        <v>125</v>
      </c>
      <c r="B54" s="169"/>
      <c r="C54" s="169"/>
      <c r="D54" s="47" t="s">
        <v>119</v>
      </c>
      <c r="E54" s="168" t="s">
        <v>125</v>
      </c>
      <c r="F54" s="48">
        <v>87</v>
      </c>
      <c r="G54" s="48" t="s">
        <v>94</v>
      </c>
      <c r="H54" s="168">
        <v>49.6</v>
      </c>
      <c r="I54" s="168">
        <v>41.01</v>
      </c>
      <c r="J54" s="168">
        <v>54.76</v>
      </c>
      <c r="K54" s="168">
        <v>45.28</v>
      </c>
      <c r="L54" s="172">
        <v>0.68400000000000005</v>
      </c>
      <c r="M54" s="168">
        <v>12.2</v>
      </c>
      <c r="N54" s="168">
        <v>20</v>
      </c>
      <c r="O54" s="168">
        <v>17</v>
      </c>
      <c r="P54" s="168">
        <v>25</v>
      </c>
      <c r="Q54" s="27"/>
    </row>
    <row r="55" spans="1:17" ht="15.75" hidden="1" customHeight="1">
      <c r="A55" s="169"/>
      <c r="B55" s="169"/>
      <c r="C55" s="169"/>
      <c r="D55" s="43" t="s">
        <v>90</v>
      </c>
      <c r="E55" s="169"/>
      <c r="F55" s="55">
        <v>13</v>
      </c>
      <c r="G55" s="49" t="s">
        <v>96</v>
      </c>
      <c r="H55" s="169"/>
      <c r="I55" s="169"/>
      <c r="J55" s="169"/>
      <c r="K55" s="169"/>
      <c r="L55" s="173"/>
      <c r="M55" s="169"/>
      <c r="N55" s="169"/>
      <c r="O55" s="169"/>
      <c r="P55" s="169"/>
      <c r="Q55" s="27"/>
    </row>
    <row r="56" spans="1:17" ht="15.75" hidden="1" customHeight="1" thickBot="1">
      <c r="A56" s="171"/>
      <c r="B56" s="169"/>
      <c r="C56" s="169"/>
      <c r="D56" s="50"/>
      <c r="E56" s="171"/>
      <c r="F56" s="56">
        <v>0</v>
      </c>
      <c r="G56" s="51" t="s">
        <v>100</v>
      </c>
      <c r="H56" s="171"/>
      <c r="I56" s="171"/>
      <c r="J56" s="171"/>
      <c r="K56" s="171"/>
      <c r="L56" s="174"/>
      <c r="M56" s="171"/>
      <c r="N56" s="171"/>
      <c r="O56" s="171"/>
      <c r="P56" s="171"/>
      <c r="Q56" s="27"/>
    </row>
    <row r="57" spans="1:17" ht="15.75" hidden="1" customHeight="1">
      <c r="A57" s="168" t="s">
        <v>126</v>
      </c>
      <c r="B57" s="169"/>
      <c r="C57" s="169"/>
      <c r="D57" s="47" t="s">
        <v>119</v>
      </c>
      <c r="E57" s="168" t="s">
        <v>126</v>
      </c>
      <c r="F57" s="57">
        <v>77</v>
      </c>
      <c r="G57" s="48" t="s">
        <v>94</v>
      </c>
      <c r="H57" s="168">
        <v>42.87</v>
      </c>
      <c r="I57" s="168">
        <v>28.53</v>
      </c>
      <c r="J57" s="168">
        <v>47.87</v>
      </c>
      <c r="K57" s="168">
        <v>31.86</v>
      </c>
      <c r="L57" s="172">
        <v>0.443</v>
      </c>
      <c r="M57" s="168"/>
      <c r="N57" s="168">
        <v>20</v>
      </c>
      <c r="O57" s="168">
        <v>17</v>
      </c>
      <c r="P57" s="168">
        <v>25</v>
      </c>
      <c r="Q57" s="27"/>
    </row>
    <row r="58" spans="1:17" ht="15.75" hidden="1" customHeight="1">
      <c r="A58" s="169"/>
      <c r="B58" s="169"/>
      <c r="C58" s="169"/>
      <c r="D58" s="43" t="s">
        <v>121</v>
      </c>
      <c r="E58" s="169"/>
      <c r="F58" s="55">
        <v>23</v>
      </c>
      <c r="G58" s="49" t="s">
        <v>99</v>
      </c>
      <c r="H58" s="169"/>
      <c r="I58" s="169"/>
      <c r="J58" s="169"/>
      <c r="K58" s="169"/>
      <c r="L58" s="173"/>
      <c r="M58" s="169"/>
      <c r="N58" s="169"/>
      <c r="O58" s="169"/>
      <c r="P58" s="169"/>
      <c r="Q58" s="27"/>
    </row>
    <row r="59" spans="1:17" ht="15.75" hidden="1" customHeight="1" thickBot="1">
      <c r="A59" s="171"/>
      <c r="B59" s="169"/>
      <c r="C59" s="169"/>
      <c r="D59" s="50"/>
      <c r="E59" s="171"/>
      <c r="F59" s="56">
        <v>0</v>
      </c>
      <c r="G59" s="51" t="s">
        <v>100</v>
      </c>
      <c r="H59" s="171"/>
      <c r="I59" s="171"/>
      <c r="J59" s="171"/>
      <c r="K59" s="171"/>
      <c r="L59" s="174"/>
      <c r="M59" s="171"/>
      <c r="N59" s="171"/>
      <c r="O59" s="171"/>
      <c r="P59" s="171"/>
      <c r="Q59" s="27"/>
    </row>
    <row r="60" spans="1:17" ht="15.75" hidden="1" customHeight="1">
      <c r="A60" s="168" t="s">
        <v>132</v>
      </c>
      <c r="B60" s="169"/>
      <c r="C60" s="169"/>
      <c r="D60" s="47" t="s">
        <v>119</v>
      </c>
      <c r="E60" s="168" t="s">
        <v>132</v>
      </c>
      <c r="F60" s="57">
        <v>85</v>
      </c>
      <c r="G60" s="48" t="s">
        <v>94</v>
      </c>
      <c r="H60" s="178">
        <v>36.82</v>
      </c>
      <c r="I60" s="178">
        <v>28.91</v>
      </c>
      <c r="J60" s="178">
        <v>40.9</v>
      </c>
      <c r="K60" s="179">
        <v>32.11</v>
      </c>
      <c r="L60" s="180">
        <v>0.61699999999999999</v>
      </c>
      <c r="M60" s="168"/>
      <c r="N60" s="168">
        <v>20</v>
      </c>
      <c r="O60" s="168">
        <v>17</v>
      </c>
      <c r="P60" s="168">
        <v>25</v>
      </c>
      <c r="Q60" s="27"/>
    </row>
    <row r="61" spans="1:17" ht="15.75" hidden="1" customHeight="1">
      <c r="A61" s="169"/>
      <c r="B61" s="169"/>
      <c r="C61" s="169"/>
      <c r="D61" s="43" t="s">
        <v>91</v>
      </c>
      <c r="E61" s="169"/>
      <c r="F61" s="55">
        <v>0</v>
      </c>
      <c r="G61" s="49" t="s">
        <v>99</v>
      </c>
      <c r="H61" s="169"/>
      <c r="I61" s="169"/>
      <c r="J61" s="169"/>
      <c r="K61" s="173"/>
      <c r="L61" s="169"/>
      <c r="M61" s="169"/>
      <c r="N61" s="169"/>
      <c r="O61" s="169"/>
      <c r="P61" s="169"/>
      <c r="Q61" s="27"/>
    </row>
    <row r="62" spans="1:17" ht="15.75" hidden="1" customHeight="1" thickBot="1">
      <c r="A62" s="171"/>
      <c r="B62" s="171"/>
      <c r="C62" s="171"/>
      <c r="D62" s="64"/>
      <c r="E62" s="171"/>
      <c r="F62" s="56">
        <v>15</v>
      </c>
      <c r="G62" s="51" t="s">
        <v>100</v>
      </c>
      <c r="H62" s="171"/>
      <c r="I62" s="171"/>
      <c r="J62" s="171"/>
      <c r="K62" s="174"/>
      <c r="L62" s="171"/>
      <c r="M62" s="171"/>
      <c r="N62" s="171"/>
      <c r="O62" s="171"/>
      <c r="P62" s="171"/>
      <c r="Q62" s="27"/>
    </row>
    <row r="63" spans="1:17" ht="15.75" hidden="1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65"/>
      <c r="N63" s="65"/>
      <c r="O63" s="65"/>
      <c r="P63" s="65"/>
      <c r="Q63" s="27"/>
    </row>
    <row r="64" spans="1:17" ht="15.75" hidden="1" customHeight="1">
      <c r="A64" s="176" t="s">
        <v>133</v>
      </c>
      <c r="B64" s="177" t="s">
        <v>134</v>
      </c>
      <c r="C64" s="176" t="s">
        <v>135</v>
      </c>
      <c r="D64" s="43" t="s">
        <v>124</v>
      </c>
      <c r="E64" s="176" t="s">
        <v>133</v>
      </c>
      <c r="F64" s="55">
        <v>50</v>
      </c>
      <c r="G64" s="49" t="s">
        <v>97</v>
      </c>
      <c r="H64" s="176">
        <v>80.58</v>
      </c>
      <c r="I64" s="176">
        <v>116.09</v>
      </c>
      <c r="J64" s="176">
        <v>87.33</v>
      </c>
      <c r="K64" s="176">
        <v>125.81</v>
      </c>
      <c r="L64" s="176">
        <v>2.0750000000000002</v>
      </c>
      <c r="M64" s="176">
        <v>14</v>
      </c>
      <c r="N64" s="176">
        <v>29</v>
      </c>
      <c r="O64" s="176">
        <v>25</v>
      </c>
      <c r="P64" s="176">
        <v>35</v>
      </c>
      <c r="Q64" s="27"/>
    </row>
    <row r="65" spans="1:17" ht="15.75" hidden="1" customHeight="1">
      <c r="A65" s="169"/>
      <c r="B65" s="169"/>
      <c r="C65" s="169"/>
      <c r="D65" s="43" t="s">
        <v>119</v>
      </c>
      <c r="E65" s="169"/>
      <c r="F65" s="55">
        <v>50</v>
      </c>
      <c r="G65" s="49" t="s">
        <v>98</v>
      </c>
      <c r="H65" s="169"/>
      <c r="I65" s="169"/>
      <c r="J65" s="169"/>
      <c r="K65" s="169"/>
      <c r="L65" s="169"/>
      <c r="M65" s="169"/>
      <c r="N65" s="169"/>
      <c r="O65" s="169"/>
      <c r="P65" s="169"/>
      <c r="Q65" s="27"/>
    </row>
    <row r="66" spans="1:17" ht="15.75" hidden="1" customHeight="1" thickBot="1">
      <c r="A66" s="171"/>
      <c r="B66" s="169"/>
      <c r="C66" s="169"/>
      <c r="D66" s="50" t="s">
        <v>90</v>
      </c>
      <c r="E66" s="171"/>
      <c r="F66" s="56">
        <v>0</v>
      </c>
      <c r="G66" s="51" t="s">
        <v>96</v>
      </c>
      <c r="H66" s="171"/>
      <c r="I66" s="171"/>
      <c r="J66" s="171"/>
      <c r="K66" s="171"/>
      <c r="L66" s="171"/>
      <c r="M66" s="171"/>
      <c r="N66" s="171"/>
      <c r="O66" s="171"/>
      <c r="P66" s="171"/>
      <c r="Q66" s="27"/>
    </row>
    <row r="67" spans="1:17" ht="15.75" hidden="1" customHeight="1">
      <c r="A67" s="168" t="s">
        <v>30</v>
      </c>
      <c r="B67" s="169"/>
      <c r="C67" s="169"/>
      <c r="D67" s="47" t="s">
        <v>119</v>
      </c>
      <c r="E67" s="168" t="s">
        <v>30</v>
      </c>
      <c r="F67" s="57">
        <v>0</v>
      </c>
      <c r="G67" s="48" t="s">
        <v>97</v>
      </c>
      <c r="H67" s="168">
        <v>70.69</v>
      </c>
      <c r="I67" s="168">
        <v>88</v>
      </c>
      <c r="J67" s="168">
        <v>76.84</v>
      </c>
      <c r="K67" s="168">
        <v>95.65</v>
      </c>
      <c r="L67" s="172">
        <v>1.5549999999999999</v>
      </c>
      <c r="M67" s="168">
        <v>13.7</v>
      </c>
      <c r="N67" s="168">
        <v>29</v>
      </c>
      <c r="O67" s="168">
        <v>25</v>
      </c>
      <c r="P67" s="168">
        <v>35</v>
      </c>
      <c r="Q67" s="27"/>
    </row>
    <row r="68" spans="1:17" ht="15.75" hidden="1" customHeight="1">
      <c r="A68" s="169"/>
      <c r="B68" s="169"/>
      <c r="C68" s="169"/>
      <c r="D68" s="43" t="s">
        <v>91</v>
      </c>
      <c r="E68" s="169"/>
      <c r="F68" s="55">
        <v>0</v>
      </c>
      <c r="G68" s="49" t="s">
        <v>98</v>
      </c>
      <c r="H68" s="169"/>
      <c r="I68" s="169"/>
      <c r="J68" s="169"/>
      <c r="K68" s="169"/>
      <c r="L68" s="173"/>
      <c r="M68" s="169"/>
      <c r="N68" s="169"/>
      <c r="O68" s="169"/>
      <c r="P68" s="169"/>
      <c r="Q68" s="27"/>
    </row>
    <row r="69" spans="1:17" ht="15.75" hidden="1" customHeight="1" thickBot="1">
      <c r="A69" s="171"/>
      <c r="B69" s="169"/>
      <c r="C69" s="169"/>
      <c r="D69" s="64"/>
      <c r="E69" s="171"/>
      <c r="F69" s="56">
        <v>100</v>
      </c>
      <c r="G69" s="51" t="s">
        <v>96</v>
      </c>
      <c r="H69" s="171"/>
      <c r="I69" s="171"/>
      <c r="J69" s="171"/>
      <c r="K69" s="171"/>
      <c r="L69" s="174"/>
      <c r="M69" s="171"/>
      <c r="N69" s="171"/>
      <c r="O69" s="171"/>
      <c r="P69" s="171"/>
      <c r="Q69" s="27"/>
    </row>
    <row r="70" spans="1:17" ht="15.75" hidden="1" customHeight="1">
      <c r="A70" s="168" t="s">
        <v>136</v>
      </c>
      <c r="B70" s="169"/>
      <c r="C70" s="169"/>
      <c r="D70" s="47" t="s">
        <v>119</v>
      </c>
      <c r="E70" s="168" t="s">
        <v>136</v>
      </c>
      <c r="F70" s="57">
        <v>0</v>
      </c>
      <c r="G70" s="48" t="s">
        <v>97</v>
      </c>
      <c r="H70" s="168">
        <v>68.14</v>
      </c>
      <c r="I70" s="168">
        <v>82.78</v>
      </c>
      <c r="J70" s="168">
        <v>72.86</v>
      </c>
      <c r="K70" s="168">
        <v>88.52</v>
      </c>
      <c r="L70" s="172">
        <v>1.476</v>
      </c>
      <c r="M70" s="168"/>
      <c r="N70" s="168">
        <v>29</v>
      </c>
      <c r="O70" s="168">
        <v>25</v>
      </c>
      <c r="P70" s="168">
        <v>35</v>
      </c>
      <c r="Q70" s="27"/>
    </row>
    <row r="71" spans="1:17" ht="15.75" hidden="1" customHeight="1">
      <c r="A71" s="169"/>
      <c r="B71" s="169"/>
      <c r="C71" s="169"/>
      <c r="D71" s="43" t="s">
        <v>121</v>
      </c>
      <c r="E71" s="169"/>
      <c r="F71" s="55">
        <v>0</v>
      </c>
      <c r="G71" s="49" t="s">
        <v>98</v>
      </c>
      <c r="H71" s="169"/>
      <c r="I71" s="169"/>
      <c r="J71" s="169"/>
      <c r="K71" s="169"/>
      <c r="L71" s="173"/>
      <c r="M71" s="169"/>
      <c r="N71" s="169"/>
      <c r="O71" s="169"/>
      <c r="P71" s="169"/>
      <c r="Q71" s="27"/>
    </row>
    <row r="72" spans="1:17" ht="15.75" hidden="1" customHeight="1" thickBot="1">
      <c r="A72" s="170"/>
      <c r="B72" s="169"/>
      <c r="C72" s="170"/>
      <c r="D72" s="58"/>
      <c r="E72" s="170"/>
      <c r="F72" s="46">
        <v>100</v>
      </c>
      <c r="G72" s="59" t="s">
        <v>95</v>
      </c>
      <c r="H72" s="170"/>
      <c r="I72" s="170"/>
      <c r="J72" s="170"/>
      <c r="K72" s="170"/>
      <c r="L72" s="175"/>
      <c r="M72" s="170"/>
      <c r="N72" s="170"/>
      <c r="O72" s="170"/>
      <c r="P72" s="170"/>
      <c r="Q72" s="27"/>
    </row>
    <row r="73" spans="1:17" ht="15.75" hidden="1" customHeight="1" thickTop="1">
      <c r="A73" s="168" t="s">
        <v>30</v>
      </c>
      <c r="B73" s="169"/>
      <c r="C73" s="168" t="s">
        <v>137</v>
      </c>
      <c r="D73" s="47" t="s">
        <v>124</v>
      </c>
      <c r="E73" s="168" t="s">
        <v>30</v>
      </c>
      <c r="F73" s="57">
        <v>0</v>
      </c>
      <c r="G73" s="48" t="s">
        <v>97</v>
      </c>
      <c r="H73" s="168">
        <v>70.69</v>
      </c>
      <c r="I73" s="168">
        <v>88</v>
      </c>
      <c r="J73" s="168">
        <v>76.84</v>
      </c>
      <c r="K73" s="168">
        <v>95.65</v>
      </c>
      <c r="L73" s="172">
        <v>1.5549999999999999</v>
      </c>
      <c r="M73" s="168">
        <v>13.7</v>
      </c>
      <c r="N73" s="168">
        <v>37</v>
      </c>
      <c r="O73" s="168">
        <v>25</v>
      </c>
      <c r="P73" s="168">
        <v>45</v>
      </c>
      <c r="Q73" s="27"/>
    </row>
    <row r="74" spans="1:17" ht="15.75" hidden="1" customHeight="1">
      <c r="A74" s="169"/>
      <c r="B74" s="169"/>
      <c r="C74" s="169"/>
      <c r="D74" s="43" t="s">
        <v>119</v>
      </c>
      <c r="E74" s="169"/>
      <c r="F74" s="55">
        <v>0</v>
      </c>
      <c r="G74" s="49" t="s">
        <v>98</v>
      </c>
      <c r="H74" s="169"/>
      <c r="I74" s="169"/>
      <c r="J74" s="169"/>
      <c r="K74" s="169"/>
      <c r="L74" s="173"/>
      <c r="M74" s="169"/>
      <c r="N74" s="169"/>
      <c r="O74" s="169"/>
      <c r="P74" s="169"/>
      <c r="Q74" s="27"/>
    </row>
    <row r="75" spans="1:17" ht="15.75" hidden="1" customHeight="1" thickBot="1">
      <c r="A75" s="171"/>
      <c r="B75" s="169"/>
      <c r="C75" s="169"/>
      <c r="D75" s="50" t="s">
        <v>90</v>
      </c>
      <c r="E75" s="171"/>
      <c r="F75" s="56">
        <v>100</v>
      </c>
      <c r="G75" s="51" t="s">
        <v>96</v>
      </c>
      <c r="H75" s="171"/>
      <c r="I75" s="171"/>
      <c r="J75" s="171"/>
      <c r="K75" s="171"/>
      <c r="L75" s="174"/>
      <c r="M75" s="171"/>
      <c r="N75" s="171"/>
      <c r="O75" s="171"/>
      <c r="P75" s="171"/>
      <c r="Q75" s="27"/>
    </row>
    <row r="76" spans="1:17" ht="15.75" hidden="1" customHeight="1">
      <c r="A76" s="168" t="s">
        <v>136</v>
      </c>
      <c r="B76" s="169"/>
      <c r="C76" s="169"/>
      <c r="D76" s="47" t="s">
        <v>119</v>
      </c>
      <c r="E76" s="168" t="s">
        <v>136</v>
      </c>
      <c r="F76" s="57">
        <v>0</v>
      </c>
      <c r="G76" s="48" t="s">
        <v>97</v>
      </c>
      <c r="H76" s="168">
        <v>68.14</v>
      </c>
      <c r="I76" s="168">
        <v>82.78</v>
      </c>
      <c r="J76" s="168">
        <v>72.86</v>
      </c>
      <c r="K76" s="168">
        <v>88.52</v>
      </c>
      <c r="L76" s="172">
        <v>1.476</v>
      </c>
      <c r="M76" s="168"/>
      <c r="N76" s="168">
        <v>37</v>
      </c>
      <c r="O76" s="168">
        <v>25</v>
      </c>
      <c r="P76" s="168">
        <v>45</v>
      </c>
      <c r="Q76" s="27"/>
    </row>
    <row r="77" spans="1:17" ht="15.75" hidden="1" customHeight="1">
      <c r="A77" s="169"/>
      <c r="B77" s="169"/>
      <c r="C77" s="169"/>
      <c r="D77" s="43" t="s">
        <v>121</v>
      </c>
      <c r="E77" s="169"/>
      <c r="F77" s="55">
        <v>0</v>
      </c>
      <c r="G77" s="49" t="s">
        <v>98</v>
      </c>
      <c r="H77" s="169"/>
      <c r="I77" s="169"/>
      <c r="J77" s="169"/>
      <c r="K77" s="169"/>
      <c r="L77" s="173"/>
      <c r="M77" s="169"/>
      <c r="N77" s="169"/>
      <c r="O77" s="169"/>
      <c r="P77" s="169"/>
      <c r="Q77" s="27"/>
    </row>
    <row r="78" spans="1:17" ht="15.75" hidden="1" customHeight="1" thickBot="1">
      <c r="A78" s="171"/>
      <c r="B78" s="171"/>
      <c r="C78" s="171"/>
      <c r="D78" s="50" t="s">
        <v>90</v>
      </c>
      <c r="E78" s="171"/>
      <c r="F78" s="56">
        <v>100</v>
      </c>
      <c r="G78" s="51" t="s">
        <v>95</v>
      </c>
      <c r="H78" s="171"/>
      <c r="I78" s="171"/>
      <c r="J78" s="171"/>
      <c r="K78" s="171"/>
      <c r="L78" s="174"/>
      <c r="M78" s="171"/>
      <c r="N78" s="171"/>
      <c r="O78" s="171"/>
      <c r="P78" s="171"/>
      <c r="Q78" s="27"/>
    </row>
    <row r="79" spans="1:17" ht="15.75" hidden="1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ht="15.75" hidden="1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ht="15.75" hidden="1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.75" hidden="1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ht="15.75" hidden="1" customHeight="1">
      <c r="A83" s="27" t="s">
        <v>116</v>
      </c>
      <c r="B83" s="27"/>
      <c r="C83" s="66" t="s">
        <v>117</v>
      </c>
      <c r="D83" s="66" t="s">
        <v>122</v>
      </c>
      <c r="E83" s="66" t="s">
        <v>134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ht="15.75" hidden="1" customHeight="1">
      <c r="A84" s="27" t="s">
        <v>120</v>
      </c>
      <c r="B84" s="27"/>
      <c r="C84" s="27" t="b">
        <f>OR(C2="G110",C2="G112")</f>
        <v>0</v>
      </c>
      <c r="D84" s="27" t="b">
        <f>OR(C2="G20",C2="G21",C2="G222",C2="G23",C2="G25",C2="G26",C2="G27",C2="G231")</f>
        <v>0</v>
      </c>
      <c r="E84" s="27" t="b">
        <f>OR(C2="G30",C2="G31",C2="G32")</f>
        <v>1</v>
      </c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ht="15.75" hidden="1" customHeight="1">
      <c r="A85" s="27" t="s">
        <v>27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ht="15.75" hidden="1" customHeight="1">
      <c r="A86" s="27" t="s">
        <v>125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ht="15.75" hidden="1" customHeight="1">
      <c r="A87" s="27" t="s">
        <v>126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ht="15.75" hidden="1" customHeight="1">
      <c r="A88" s="27" t="s">
        <v>127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ht="15.75" hidden="1" customHeight="1">
      <c r="A89" s="27" t="s">
        <v>128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ht="15.75" hidden="1" customHeight="1">
      <c r="A90" s="27" t="s">
        <v>130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ht="15.75" hidden="1" customHeight="1">
      <c r="A91" s="27" t="s">
        <v>131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ht="15.75" hidden="1" customHeight="1">
      <c r="A92" s="27" t="s">
        <v>132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ht="15.75" hidden="1" customHeight="1">
      <c r="A93" s="27" t="s">
        <v>133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15.75" hidden="1" customHeight="1">
      <c r="A94" s="27" t="s">
        <v>30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ht="15.75" hidden="1" customHeight="1">
      <c r="A95" s="27" t="s">
        <v>136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ht="15.75" hidden="1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</sheetData>
  <mergeCells count="225">
    <mergeCell ref="A21:A22"/>
    <mergeCell ref="B21:B22"/>
    <mergeCell ref="C21:C22"/>
    <mergeCell ref="D21:D22"/>
    <mergeCell ref="E21:E22"/>
    <mergeCell ref="F21:G21"/>
    <mergeCell ref="K23:K25"/>
    <mergeCell ref="M23:M25"/>
    <mergeCell ref="N23:N25"/>
    <mergeCell ref="O23:O25"/>
    <mergeCell ref="P23:P25"/>
    <mergeCell ref="L21:L22"/>
    <mergeCell ref="N21:P21"/>
    <mergeCell ref="F22:G22"/>
    <mergeCell ref="L26:L28"/>
    <mergeCell ref="M26:M28"/>
    <mergeCell ref="N26:N28"/>
    <mergeCell ref="O26:O28"/>
    <mergeCell ref="P26:P28"/>
    <mergeCell ref="J26:J28"/>
    <mergeCell ref="K26:K28"/>
    <mergeCell ref="H23:H25"/>
    <mergeCell ref="I23:I25"/>
    <mergeCell ref="J23:J25"/>
    <mergeCell ref="A26:A28"/>
    <mergeCell ref="E26:E28"/>
    <mergeCell ref="H26:H28"/>
    <mergeCell ref="I26:I28"/>
    <mergeCell ref="A39:A41"/>
    <mergeCell ref="E39:E41"/>
    <mergeCell ref="H39:H41"/>
    <mergeCell ref="I39:I41"/>
    <mergeCell ref="L23:L25"/>
    <mergeCell ref="A23:A25"/>
    <mergeCell ref="B23:B28"/>
    <mergeCell ref="C23:C28"/>
    <mergeCell ref="E23:E25"/>
    <mergeCell ref="N30:N32"/>
    <mergeCell ref="O30:O32"/>
    <mergeCell ref="P30:P32"/>
    <mergeCell ref="A33:A35"/>
    <mergeCell ref="E33:E35"/>
    <mergeCell ref="H33:H35"/>
    <mergeCell ref="I33:I35"/>
    <mergeCell ref="J33:J35"/>
    <mergeCell ref="K33:K35"/>
    <mergeCell ref="L33:L35"/>
    <mergeCell ref="H30:H32"/>
    <mergeCell ref="I30:I32"/>
    <mergeCell ref="J30:J32"/>
    <mergeCell ref="K30:K32"/>
    <mergeCell ref="L30:L32"/>
    <mergeCell ref="M30:M32"/>
    <mergeCell ref="A30:A32"/>
    <mergeCell ref="B30:B62"/>
    <mergeCell ref="C30:C41"/>
    <mergeCell ref="D30:D32"/>
    <mergeCell ref="E30:E32"/>
    <mergeCell ref="J39:J41"/>
    <mergeCell ref="M33:M35"/>
    <mergeCell ref="N33:N35"/>
    <mergeCell ref="O33:O35"/>
    <mergeCell ref="P33:P35"/>
    <mergeCell ref="A36:A38"/>
    <mergeCell ref="E36:E38"/>
    <mergeCell ref="H36:H38"/>
    <mergeCell ref="I36:I38"/>
    <mergeCell ref="J36:J38"/>
    <mergeCell ref="K36:K38"/>
    <mergeCell ref="K39:K41"/>
    <mergeCell ref="L39:L41"/>
    <mergeCell ref="M39:M41"/>
    <mergeCell ref="N39:N41"/>
    <mergeCell ref="O39:O41"/>
    <mergeCell ref="P39:P41"/>
    <mergeCell ref="L36:L38"/>
    <mergeCell ref="M36:M38"/>
    <mergeCell ref="N36:N38"/>
    <mergeCell ref="O36:O38"/>
    <mergeCell ref="P36:P38"/>
    <mergeCell ref="N42:N44"/>
    <mergeCell ref="O42:O44"/>
    <mergeCell ref="P42:P44"/>
    <mergeCell ref="A42:A44"/>
    <mergeCell ref="C42:C50"/>
    <mergeCell ref="E42:E44"/>
    <mergeCell ref="H42:H44"/>
    <mergeCell ref="I42:I44"/>
    <mergeCell ref="J42:J44"/>
    <mergeCell ref="A45:A47"/>
    <mergeCell ref="E45:E47"/>
    <mergeCell ref="H45:H47"/>
    <mergeCell ref="I45:I47"/>
    <mergeCell ref="P45:P47"/>
    <mergeCell ref="A48:A50"/>
    <mergeCell ref="E48:E50"/>
    <mergeCell ref="H48:H50"/>
    <mergeCell ref="I48:I50"/>
    <mergeCell ref="J48:J50"/>
    <mergeCell ref="K48:K50"/>
    <mergeCell ref="L48:L50"/>
    <mergeCell ref="P51:P53"/>
    <mergeCell ref="A60:A62"/>
    <mergeCell ref="E60:E62"/>
    <mergeCell ref="H60:H62"/>
    <mergeCell ref="I60:I62"/>
    <mergeCell ref="M48:M50"/>
    <mergeCell ref="N48:N50"/>
    <mergeCell ref="J45:J47"/>
    <mergeCell ref="K45:K47"/>
    <mergeCell ref="L45:L47"/>
    <mergeCell ref="M45:M47"/>
    <mergeCell ref="N45:N47"/>
    <mergeCell ref="O45:O47"/>
    <mergeCell ref="A54:A56"/>
    <mergeCell ref="E54:E56"/>
    <mergeCell ref="H54:H56"/>
    <mergeCell ref="I54:I56"/>
    <mergeCell ref="J54:J56"/>
    <mergeCell ref="O48:O50"/>
    <mergeCell ref="A57:A59"/>
    <mergeCell ref="E57:E59"/>
    <mergeCell ref="H57:H59"/>
    <mergeCell ref="I57:I59"/>
    <mergeCell ref="J57:J59"/>
    <mergeCell ref="K60:K62"/>
    <mergeCell ref="L60:L62"/>
    <mergeCell ref="M60:M62"/>
    <mergeCell ref="P48:P50"/>
    <mergeCell ref="A51:A53"/>
    <mergeCell ref="C51:C62"/>
    <mergeCell ref="D51:D53"/>
    <mergeCell ref="E51:E53"/>
    <mergeCell ref="H51:H53"/>
    <mergeCell ref="I51:I53"/>
    <mergeCell ref="J51:J53"/>
    <mergeCell ref="K51:K53"/>
    <mergeCell ref="K54:K56"/>
    <mergeCell ref="L54:L56"/>
    <mergeCell ref="M54:M56"/>
    <mergeCell ref="N54:N56"/>
    <mergeCell ref="O54:O56"/>
    <mergeCell ref="P54:P56"/>
    <mergeCell ref="L51:L53"/>
    <mergeCell ref="P67:P69"/>
    <mergeCell ref="N60:N62"/>
    <mergeCell ref="O60:O62"/>
    <mergeCell ref="P60:P62"/>
    <mergeCell ref="L57:L59"/>
    <mergeCell ref="M57:M59"/>
    <mergeCell ref="N57:N59"/>
    <mergeCell ref="O57:O59"/>
    <mergeCell ref="P57:P59"/>
    <mergeCell ref="A76:A78"/>
    <mergeCell ref="E76:E78"/>
    <mergeCell ref="H76:H78"/>
    <mergeCell ref="I76:I78"/>
    <mergeCell ref="J76:J78"/>
    <mergeCell ref="P64:P66"/>
    <mergeCell ref="A67:A69"/>
    <mergeCell ref="E67:E69"/>
    <mergeCell ref="H67:H69"/>
    <mergeCell ref="I67:I69"/>
    <mergeCell ref="J67:J69"/>
    <mergeCell ref="K67:K69"/>
    <mergeCell ref="L67:L69"/>
    <mergeCell ref="M67:M69"/>
    <mergeCell ref="N67:N69"/>
    <mergeCell ref="J64:J66"/>
    <mergeCell ref="K64:K66"/>
    <mergeCell ref="L64:L66"/>
    <mergeCell ref="M64:M66"/>
    <mergeCell ref="N64:N66"/>
    <mergeCell ref="O64:O66"/>
    <mergeCell ref="A64:A66"/>
    <mergeCell ref="B64:B78"/>
    <mergeCell ref="C64:C72"/>
    <mergeCell ref="P70:P72"/>
    <mergeCell ref="A73:A75"/>
    <mergeCell ref="C73:C78"/>
    <mergeCell ref="E73:E75"/>
    <mergeCell ref="H73:H75"/>
    <mergeCell ref="I73:I75"/>
    <mergeCell ref="J73:J75"/>
    <mergeCell ref="K73:K75"/>
    <mergeCell ref="K76:K78"/>
    <mergeCell ref="L76:L78"/>
    <mergeCell ref="M76:M78"/>
    <mergeCell ref="N76:N78"/>
    <mergeCell ref="O76:O78"/>
    <mergeCell ref="P76:P78"/>
    <mergeCell ref="L73:L75"/>
    <mergeCell ref="M73:M75"/>
    <mergeCell ref="N73:N75"/>
    <mergeCell ref="O73:O75"/>
    <mergeCell ref="P73:P75"/>
    <mergeCell ref="A70:A72"/>
    <mergeCell ref="E70:E72"/>
    <mergeCell ref="H70:H72"/>
    <mergeCell ref="I70:I72"/>
    <mergeCell ref="J70:J72"/>
    <mergeCell ref="B4:B5"/>
    <mergeCell ref="C4:C5"/>
    <mergeCell ref="H4:H5"/>
    <mergeCell ref="B3:I3"/>
    <mergeCell ref="B8:H8"/>
    <mergeCell ref="B12:E12"/>
    <mergeCell ref="B16:D16"/>
    <mergeCell ref="N70:N72"/>
    <mergeCell ref="O70:O72"/>
    <mergeCell ref="K70:K72"/>
    <mergeCell ref="L70:L72"/>
    <mergeCell ref="M70:M72"/>
    <mergeCell ref="E64:E66"/>
    <mergeCell ref="H64:H66"/>
    <mergeCell ref="I64:I66"/>
    <mergeCell ref="O67:O69"/>
    <mergeCell ref="K57:K59"/>
    <mergeCell ref="J60:J62"/>
    <mergeCell ref="M51:M53"/>
    <mergeCell ref="N51:N53"/>
    <mergeCell ref="O51:O53"/>
    <mergeCell ref="K42:K44"/>
    <mergeCell ref="L42:L44"/>
    <mergeCell ref="M42:M44"/>
  </mergeCells>
  <dataValidations count="1">
    <dataValidation type="list" allowBlank="1" showErrorMessage="1" sqref="C2">
      <formula1>$A$82:$A$95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40"/>
  <sheetViews>
    <sheetView rightToLeft="1" topLeftCell="B9" workbookViewId="0">
      <selection activeCell="O38" sqref="O38"/>
    </sheetView>
  </sheetViews>
  <sheetFormatPr defaultRowHeight="14.25"/>
  <sheetData>
    <row r="2" spans="1:18" ht="15" thickBot="1"/>
    <row r="3" spans="1:18" ht="63.75">
      <c r="A3" s="193"/>
      <c r="B3" s="194" t="s">
        <v>14</v>
      </c>
      <c r="C3" s="194" t="s">
        <v>15</v>
      </c>
      <c r="D3" s="194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</row>
    <row r="4" spans="1:18" ht="18.75" thickBot="1">
      <c r="A4" s="193"/>
      <c r="B4" s="195"/>
      <c r="C4" s="195"/>
      <c r="D4" s="195"/>
      <c r="E4" s="9" t="s">
        <v>22</v>
      </c>
      <c r="F4" s="9" t="s">
        <v>23</v>
      </c>
      <c r="G4" s="9" t="s">
        <v>23</v>
      </c>
      <c r="H4" s="9" t="s">
        <v>24</v>
      </c>
      <c r="I4" s="9" t="s">
        <v>25</v>
      </c>
      <c r="M4" t="s">
        <v>26</v>
      </c>
      <c r="N4">
        <v>740</v>
      </c>
    </row>
    <row r="5" spans="1:18" ht="21.75" thickBot="1">
      <c r="B5" s="10" t="s">
        <v>5</v>
      </c>
      <c r="C5" s="9" t="s">
        <v>27</v>
      </c>
      <c r="D5" s="11" t="s">
        <v>28</v>
      </c>
      <c r="E5" s="9">
        <v>0.55500000000000005</v>
      </c>
      <c r="F5" s="9">
        <v>37.78</v>
      </c>
      <c r="G5" s="9">
        <v>34.020000000000003</v>
      </c>
      <c r="H5" s="9">
        <v>20</v>
      </c>
      <c r="I5" s="9">
        <v>11.7</v>
      </c>
      <c r="M5" t="s">
        <v>29</v>
      </c>
      <c r="N5">
        <v>770</v>
      </c>
    </row>
    <row r="6" spans="1:18" ht="21.75" thickBot="1">
      <c r="B6" s="10" t="s">
        <v>4</v>
      </c>
      <c r="C6" s="9" t="s">
        <v>30</v>
      </c>
      <c r="D6" s="11" t="s">
        <v>31</v>
      </c>
      <c r="E6" s="9">
        <v>1.5529999999999999</v>
      </c>
      <c r="F6" s="9">
        <v>95.8</v>
      </c>
      <c r="G6" s="9">
        <v>88</v>
      </c>
      <c r="H6" s="9">
        <v>29</v>
      </c>
      <c r="I6" s="9">
        <v>13.7</v>
      </c>
      <c r="M6" t="s">
        <v>32</v>
      </c>
      <c r="N6">
        <v>660</v>
      </c>
    </row>
    <row r="7" spans="1:18">
      <c r="M7" t="s">
        <v>33</v>
      </c>
      <c r="N7">
        <v>540</v>
      </c>
    </row>
    <row r="9" spans="1:18">
      <c r="B9" s="12"/>
      <c r="C9" s="12" t="s">
        <v>14</v>
      </c>
      <c r="D9" s="12" t="s">
        <v>34</v>
      </c>
      <c r="E9" s="12" t="s">
        <v>35</v>
      </c>
      <c r="F9" s="12"/>
      <c r="H9" s="12"/>
      <c r="I9" s="12" t="s">
        <v>14</v>
      </c>
      <c r="J9" s="12" t="s">
        <v>34</v>
      </c>
      <c r="K9" s="12" t="s">
        <v>35</v>
      </c>
      <c r="L9" s="12"/>
      <c r="N9" s="12"/>
      <c r="O9" s="12" t="s">
        <v>14</v>
      </c>
      <c r="P9" s="12" t="s">
        <v>34</v>
      </c>
      <c r="Q9" s="12" t="s">
        <v>35</v>
      </c>
      <c r="R9" s="12"/>
    </row>
    <row r="10" spans="1:18">
      <c r="B10" s="12" t="s">
        <v>36</v>
      </c>
      <c r="C10" s="12" t="b">
        <f>IF('ضریب تصحی توان حرارتی خانگی'!E4="G20",TRUE,FALSE)</f>
        <v>0</v>
      </c>
      <c r="D10" s="12" t="b">
        <f>IF('ضریب تصحی توان حرارتی خانگی'!B7="خانگی",TRUE,FALSE)</f>
        <v>1</v>
      </c>
      <c r="E10" s="12" t="b">
        <f>AND(C10,D10)</f>
        <v>0</v>
      </c>
      <c r="F10" s="12">
        <v>37.78</v>
      </c>
      <c r="H10" s="12" t="s">
        <v>36</v>
      </c>
      <c r="I10" s="12" t="b">
        <f>IF('ضریب تصحیح بازده خانگی'!E4="G20",TRUE,FALSE)</f>
        <v>0</v>
      </c>
      <c r="J10" s="12" t="b">
        <f>IF('ضریب تصحیح بازده خانگی'!B7="خانگی",TRUE,FALSE)</f>
        <v>1</v>
      </c>
      <c r="K10" s="12" t="b">
        <f>AND(I10,J10)</f>
        <v>0</v>
      </c>
      <c r="L10" s="12">
        <v>37.78</v>
      </c>
      <c r="N10" s="12" t="s">
        <v>36</v>
      </c>
      <c r="O10" s="12" t="b">
        <f>IF('توان خانگی'!E4="G20",TRUE,FALSE)</f>
        <v>1</v>
      </c>
      <c r="P10" s="12" t="b">
        <f>IF('توان خانگی'!B7="خانگی",TRUE,FALSE)</f>
        <v>1</v>
      </c>
      <c r="Q10" s="12" t="b">
        <f>AND(O10,P10)</f>
        <v>1</v>
      </c>
      <c r="R10" s="12">
        <v>37.78</v>
      </c>
    </row>
    <row r="11" spans="1:18">
      <c r="B11" s="12" t="s">
        <v>37</v>
      </c>
      <c r="C11" s="12" t="b">
        <f>IF('ضریب تصحی توان حرارتی خانگی'!E4="G20",TRUE,FALSE)</f>
        <v>0</v>
      </c>
      <c r="D11" s="12" t="b">
        <f>IF('ضریب تصحی توان حرارتی خانگی'!B7="صنعتی",TRUE,FALSE)</f>
        <v>0</v>
      </c>
      <c r="E11" s="12" t="b">
        <f t="shared" ref="E11:E13" si="0">AND(C11,D11)</f>
        <v>0</v>
      </c>
      <c r="F11" s="12">
        <v>34.020000000000003</v>
      </c>
      <c r="H11" s="12" t="s">
        <v>37</v>
      </c>
      <c r="I11" s="12" t="b">
        <f>IF('ضریب تصحیح بازده خانگی'!E4="G20",TRUE,FALSE)</f>
        <v>0</v>
      </c>
      <c r="J11" s="12" t="b">
        <f>IF('ضریب تصحیح بازده خانگی'!B7="صنعتی",TRUE,FALSE)</f>
        <v>0</v>
      </c>
      <c r="K11" s="12" t="b">
        <f t="shared" ref="K11:K13" si="1">AND(I11,J11)</f>
        <v>0</v>
      </c>
      <c r="L11" s="12">
        <v>34.020000000000003</v>
      </c>
      <c r="N11" s="12" t="s">
        <v>37</v>
      </c>
      <c r="O11" s="12" t="b">
        <f>IF('توان خانگی'!E4="G20",TRUE,FALSE)</f>
        <v>1</v>
      </c>
      <c r="P11" s="12" t="b">
        <f>IF('توان خانگی'!B7="صنعتی",TRUE,FALSE)</f>
        <v>0</v>
      </c>
      <c r="Q11" s="12" t="b">
        <f t="shared" ref="Q11:Q13" si="2">AND(O11,P11)</f>
        <v>0</v>
      </c>
      <c r="R11" s="12">
        <v>34.020000000000003</v>
      </c>
    </row>
    <row r="12" spans="1:18">
      <c r="B12" s="12" t="s">
        <v>38</v>
      </c>
      <c r="C12" s="12" t="b">
        <f>IF('ضریب تصحی توان حرارتی خانگی'!E4="G31",TRUE,FALSE)</f>
        <v>1</v>
      </c>
      <c r="D12" s="12" t="b">
        <f>IF('ضریب تصحی توان حرارتی خانگی'!B7="خانگی",TRUE,FALSE)</f>
        <v>1</v>
      </c>
      <c r="E12" s="12" t="b">
        <f t="shared" si="0"/>
        <v>1</v>
      </c>
      <c r="F12" s="12">
        <v>95.8</v>
      </c>
      <c r="H12" s="12" t="s">
        <v>38</v>
      </c>
      <c r="I12" s="12" t="b">
        <f>IF('ضریب تصحیح بازده خانگی'!E4="G31",TRUE,FALSE)</f>
        <v>1</v>
      </c>
      <c r="J12" s="12" t="b">
        <f>IF('ضریب تصحیح بازده خانگی'!B7="خانگی",TRUE,FALSE)</f>
        <v>1</v>
      </c>
      <c r="K12" s="12" t="b">
        <f t="shared" si="1"/>
        <v>1</v>
      </c>
      <c r="L12" s="12">
        <v>95.8</v>
      </c>
      <c r="N12" s="12" t="s">
        <v>38</v>
      </c>
      <c r="O12" s="12" t="b">
        <f>IF('توان خانگی'!E4="G31",TRUE,FALSE)</f>
        <v>0</v>
      </c>
      <c r="P12" s="12" t="b">
        <f>IF('توان خانگی'!B7="خانگی",TRUE,FALSE)</f>
        <v>1</v>
      </c>
      <c r="Q12" s="12" t="b">
        <f t="shared" si="2"/>
        <v>0</v>
      </c>
      <c r="R12" s="12">
        <v>95.8</v>
      </c>
    </row>
    <row r="13" spans="1:18">
      <c r="B13" s="12" t="s">
        <v>39</v>
      </c>
      <c r="C13" s="12" t="b">
        <f>IF('ضریب تصحی توان حرارتی خانگی'!E4="G31",TRUE,FALSE)</f>
        <v>1</v>
      </c>
      <c r="D13" s="12" t="b">
        <f>IF('ضریب تصحی توان حرارتی خانگی'!B7="صنعتی",TRUE,FALSE)</f>
        <v>0</v>
      </c>
      <c r="E13" s="12" t="b">
        <f t="shared" si="0"/>
        <v>0</v>
      </c>
      <c r="F13" s="12">
        <v>88</v>
      </c>
      <c r="H13" s="12" t="s">
        <v>39</v>
      </c>
      <c r="I13" s="12" t="b">
        <f>IF('ضریب تصحیح بازده خانگی'!E4="G31",TRUE,FALSE)</f>
        <v>1</v>
      </c>
      <c r="J13" s="12" t="b">
        <f>IF('ضریب تصحیح بازده خانگی'!B7="صنعتی",TRUE,FALSE)</f>
        <v>0</v>
      </c>
      <c r="K13" s="12" t="b">
        <f t="shared" si="1"/>
        <v>0</v>
      </c>
      <c r="L13" s="12">
        <v>88</v>
      </c>
      <c r="N13" s="12" t="s">
        <v>39</v>
      </c>
      <c r="O13" s="12" t="b">
        <f>IF('توان خانگی'!E4="G31",TRUE,FALSE)</f>
        <v>0</v>
      </c>
      <c r="P13" s="12" t="b">
        <f>IF('توان خانگی'!B7="صنعتی",TRUE,FALSE)</f>
        <v>0</v>
      </c>
      <c r="Q13" s="12" t="b">
        <f t="shared" si="2"/>
        <v>0</v>
      </c>
      <c r="R13" s="12">
        <v>88</v>
      </c>
    </row>
    <row r="14" spans="1:18">
      <c r="B14" s="12"/>
      <c r="C14" s="12"/>
      <c r="D14" s="12"/>
      <c r="E14" s="12"/>
      <c r="F14" s="12"/>
      <c r="H14" s="12"/>
      <c r="I14" s="12"/>
      <c r="J14" s="12"/>
      <c r="K14" s="12"/>
      <c r="L14" s="12"/>
      <c r="N14" s="12"/>
      <c r="O14" s="12"/>
      <c r="P14" s="12"/>
      <c r="Q14" s="12"/>
      <c r="R14" s="12"/>
    </row>
    <row r="15" spans="1:18">
      <c r="B15" s="192" t="s">
        <v>50</v>
      </c>
      <c r="C15" s="192"/>
      <c r="D15" s="192"/>
      <c r="E15" s="192"/>
      <c r="F15" s="192"/>
      <c r="H15" s="192" t="s">
        <v>55</v>
      </c>
      <c r="I15" s="192"/>
      <c r="J15" s="192"/>
      <c r="K15" s="192"/>
      <c r="L15" s="192"/>
      <c r="N15" s="192" t="s">
        <v>66</v>
      </c>
      <c r="O15" s="192"/>
      <c r="P15" s="192"/>
      <c r="Q15" s="192"/>
      <c r="R15" s="192"/>
    </row>
    <row r="17" spans="2:18">
      <c r="B17" s="13" t="s">
        <v>40</v>
      </c>
      <c r="C17" s="13">
        <v>60</v>
      </c>
      <c r="D17" s="13" t="b">
        <f>IF('[1]گرید مصرف انرژی'!E30&gt;=60,TRUE,FALSE)</f>
        <v>1</v>
      </c>
      <c r="E17" s="13" t="b">
        <f>D17</f>
        <v>1</v>
      </c>
      <c r="F17" s="13" t="s">
        <v>40</v>
      </c>
      <c r="H17" s="13" t="s">
        <v>40</v>
      </c>
      <c r="I17" s="13">
        <v>45</v>
      </c>
      <c r="J17" s="13" t="b">
        <f>IF('[1]مصرف جبرانی فر'!I28&lt;=45,TRUE,FALSE)</f>
        <v>0</v>
      </c>
      <c r="K17" s="13" t="b">
        <f>J17</f>
        <v>0</v>
      </c>
      <c r="L17" s="13" t="s">
        <v>40</v>
      </c>
      <c r="N17" s="12"/>
      <c r="O17" s="12" t="s">
        <v>14</v>
      </c>
      <c r="P17" s="12" t="s">
        <v>34</v>
      </c>
      <c r="Q17" s="12" t="s">
        <v>35</v>
      </c>
      <c r="R17" s="12"/>
    </row>
    <row r="18" spans="2:18">
      <c r="B18" s="13" t="s">
        <v>41</v>
      </c>
      <c r="C18" s="13">
        <v>60</v>
      </c>
      <c r="D18" s="13" t="b">
        <f>IF('[1]گرید مصرف انرژی'!E30&lt;60,TRUE,FALSE)</f>
        <v>0</v>
      </c>
      <c r="E18" s="13" t="b">
        <f>AND(D18,D19)</f>
        <v>0</v>
      </c>
      <c r="F18" s="13" t="s">
        <v>41</v>
      </c>
      <c r="H18" s="13" t="s">
        <v>41</v>
      </c>
      <c r="I18" s="13">
        <v>45</v>
      </c>
      <c r="J18" s="13" t="b">
        <f>IF('[1]مصرف جبرانی فر'!I28&gt;45,TRUE,FALSE)</f>
        <v>1</v>
      </c>
      <c r="K18" s="13" t="b">
        <f>AND(J18,J19)</f>
        <v>0</v>
      </c>
      <c r="L18" s="13" t="s">
        <v>41</v>
      </c>
      <c r="N18" s="12" t="s">
        <v>36</v>
      </c>
      <c r="O18" s="12" t="b">
        <f>IF('بازده خانگی'!E4="G20",TRUE,FALSE)</f>
        <v>1</v>
      </c>
      <c r="P18" s="12" t="b">
        <f>IF('بازده خانگی'!B7="خانگی",TRUE,FALSE)</f>
        <v>1</v>
      </c>
      <c r="Q18" s="12" t="b">
        <f>AND(O18,P18)</f>
        <v>1</v>
      </c>
      <c r="R18" s="12">
        <v>37.78</v>
      </c>
    </row>
    <row r="19" spans="2:18">
      <c r="B19" s="13"/>
      <c r="C19" s="13">
        <v>58</v>
      </c>
      <c r="D19" s="13" t="b">
        <f>IF('[1]گرید مصرف انرژی'!E30&gt;=58,TRUE,FALSE)</f>
        <v>1</v>
      </c>
      <c r="E19" s="13"/>
      <c r="F19" s="13"/>
      <c r="H19" s="13"/>
      <c r="I19" s="13">
        <v>48</v>
      </c>
      <c r="J19" s="13" t="b">
        <f>IF('[1]مصرف جبرانی فر'!I28&lt;=48,TRUE,FALSE)</f>
        <v>0</v>
      </c>
      <c r="K19" s="13"/>
      <c r="L19" s="13"/>
      <c r="N19" s="12" t="s">
        <v>37</v>
      </c>
      <c r="O19" s="12" t="b">
        <f>IF('بازده خانگی'!E4="G20",TRUE,FALSE)</f>
        <v>1</v>
      </c>
      <c r="P19" s="12" t="b">
        <f>IF('بازده خانگی'!B7="صنعتی",TRUE,FALSE)</f>
        <v>0</v>
      </c>
      <c r="Q19" s="12" t="b">
        <f t="shared" ref="Q19:Q21" si="3">AND(O19,P19)</f>
        <v>0</v>
      </c>
      <c r="R19" s="12">
        <v>34.020000000000003</v>
      </c>
    </row>
    <row r="20" spans="2:18">
      <c r="B20" s="13" t="s">
        <v>42</v>
      </c>
      <c r="C20" s="13">
        <v>58</v>
      </c>
      <c r="D20" s="13" t="b">
        <f>IF('[1]گرید مصرف انرژی'!E30&lt;58,TRUE,FALSE)</f>
        <v>0</v>
      </c>
      <c r="E20" s="13" t="b">
        <f>AND(D20,D21)</f>
        <v>0</v>
      </c>
      <c r="F20" s="13" t="s">
        <v>42</v>
      </c>
      <c r="H20" s="13" t="s">
        <v>42</v>
      </c>
      <c r="I20" s="13">
        <v>48</v>
      </c>
      <c r="J20" s="13" t="b">
        <f>IF('[1]مصرف جبرانی فر'!I28&gt;48,TRUE,FALSE)</f>
        <v>1</v>
      </c>
      <c r="K20" s="13" t="b">
        <f>AND(J20,J21)</f>
        <v>0</v>
      </c>
      <c r="L20" s="13" t="s">
        <v>42</v>
      </c>
      <c r="N20" s="12" t="s">
        <v>38</v>
      </c>
      <c r="O20" s="12" t="b">
        <f>IF('بازده خانگی'!E4="G31",TRUE,FALSE)</f>
        <v>0</v>
      </c>
      <c r="P20" s="12" t="b">
        <f>IF('بازده خانگی'!B7="خانگی",TRUE,FALSE)</f>
        <v>1</v>
      </c>
      <c r="Q20" s="12" t="b">
        <f t="shared" si="3"/>
        <v>0</v>
      </c>
      <c r="R20" s="12">
        <v>95.8</v>
      </c>
    </row>
    <row r="21" spans="2:18">
      <c r="B21" s="13"/>
      <c r="C21" s="13">
        <v>56</v>
      </c>
      <c r="D21" s="13" t="b">
        <f>IF('[1]گرید مصرف انرژی'!E30&gt;=56,TRUE,FALSE)</f>
        <v>1</v>
      </c>
      <c r="E21" s="13"/>
      <c r="F21" s="13"/>
      <c r="H21" s="13"/>
      <c r="I21" s="13">
        <v>51</v>
      </c>
      <c r="J21" s="13" t="b">
        <f>IF('[1]مصرف جبرانی فر'!I28&lt;=51,TRUE,FALSE)</f>
        <v>0</v>
      </c>
      <c r="K21" s="13"/>
      <c r="L21" s="13"/>
      <c r="N21" s="12" t="s">
        <v>39</v>
      </c>
      <c r="O21" s="12" t="b">
        <f>IF('بازده خانگی'!E4="G31",TRUE,FALSE)</f>
        <v>0</v>
      </c>
      <c r="P21" s="12" t="b">
        <f>IF('بازده خانگی'!B7="صنعتی",TRUE,FALSE)</f>
        <v>0</v>
      </c>
      <c r="Q21" s="12" t="b">
        <f t="shared" si="3"/>
        <v>0</v>
      </c>
      <c r="R21" s="12">
        <v>88</v>
      </c>
    </row>
    <row r="22" spans="2:18">
      <c r="B22" s="13" t="s">
        <v>43</v>
      </c>
      <c r="C22" s="13">
        <v>56</v>
      </c>
      <c r="D22" s="13" t="b">
        <f>IF('[1]گرید مصرف انرژی'!E30&lt;56,TRUE,FALSE)</f>
        <v>0</v>
      </c>
      <c r="E22" s="13" t="b">
        <f>AND(D22,D23)</f>
        <v>0</v>
      </c>
      <c r="F22" s="13" t="s">
        <v>43</v>
      </c>
      <c r="H22" s="13" t="s">
        <v>43</v>
      </c>
      <c r="I22" s="13">
        <v>51</v>
      </c>
      <c r="J22" s="13" t="b">
        <f>IF('[1]مصرف جبرانی فر'!I28&gt;51,TRUE,FALSE)</f>
        <v>1</v>
      </c>
      <c r="K22" s="13" t="b">
        <f>AND(J22,J23)</f>
        <v>0</v>
      </c>
      <c r="L22" s="13" t="s">
        <v>43</v>
      </c>
      <c r="N22" s="12"/>
      <c r="O22" s="12"/>
      <c r="P22" s="12"/>
      <c r="Q22" s="12"/>
      <c r="R22" s="12"/>
    </row>
    <row r="23" spans="2:18">
      <c r="B23" s="13"/>
      <c r="C23" s="13">
        <v>54</v>
      </c>
      <c r="D23" s="13" t="b">
        <f>IF('[1]گرید مصرف انرژی'!E30&gt;=54,TRUE,FALSE)</f>
        <v>1</v>
      </c>
      <c r="E23" s="13"/>
      <c r="F23" s="13"/>
      <c r="H23" s="13"/>
      <c r="I23" s="13">
        <v>55</v>
      </c>
      <c r="J23" s="13" t="b">
        <f>IF('[1]مصرف جبرانی فر'!I28&lt;=55,TRUE,FALSE)</f>
        <v>0</v>
      </c>
      <c r="K23" s="13"/>
      <c r="L23" s="13"/>
      <c r="N23" s="192" t="s">
        <v>74</v>
      </c>
      <c r="O23" s="192"/>
      <c r="P23" s="192"/>
      <c r="Q23" s="192"/>
      <c r="R23" s="192"/>
    </row>
    <row r="24" spans="2:18">
      <c r="B24" s="13" t="s">
        <v>44</v>
      </c>
      <c r="C24" s="13">
        <v>54</v>
      </c>
      <c r="D24" s="13" t="b">
        <f>IF('[1]گرید مصرف انرژی'!E30&lt;54,TRUE,FALSE)</f>
        <v>0</v>
      </c>
      <c r="E24" s="13" t="b">
        <f>AND(D24,D25)</f>
        <v>0</v>
      </c>
      <c r="F24" s="13" t="s">
        <v>44</v>
      </c>
      <c r="H24" s="13" t="s">
        <v>44</v>
      </c>
      <c r="I24" s="13">
        <v>55</v>
      </c>
      <c r="J24" s="13" t="b">
        <f>IF('[1]مصرف جبرانی فر'!I28&gt;55,TRUE,FALSE)</f>
        <v>1</v>
      </c>
      <c r="K24" s="13" t="b">
        <f>AND(J24,J25)</f>
        <v>0</v>
      </c>
      <c r="L24" s="13" t="s">
        <v>44</v>
      </c>
    </row>
    <row r="25" spans="2:18">
      <c r="B25" s="13"/>
      <c r="C25" s="13">
        <v>52</v>
      </c>
      <c r="D25" s="13" t="b">
        <f>IF('[1]گرید مصرف انرژی'!E30&gt;=52,TRUE,FALSE)</f>
        <v>1</v>
      </c>
      <c r="E25" s="13"/>
      <c r="F25" s="13"/>
      <c r="H25" s="13"/>
      <c r="I25" s="13">
        <v>59</v>
      </c>
      <c r="J25" s="13" t="b">
        <f>IF('[1]مصرف جبرانی فر'!I28&lt;=59,TRUE,FALSE)</f>
        <v>0</v>
      </c>
      <c r="K25" s="13"/>
      <c r="L25" s="13"/>
      <c r="N25" s="12"/>
      <c r="O25" s="12" t="s">
        <v>14</v>
      </c>
      <c r="P25" s="12" t="s">
        <v>34</v>
      </c>
      <c r="Q25" s="12" t="s">
        <v>35</v>
      </c>
      <c r="R25" s="12"/>
    </row>
    <row r="26" spans="2:18">
      <c r="B26" s="13" t="s">
        <v>45</v>
      </c>
      <c r="C26" s="13">
        <v>52</v>
      </c>
      <c r="D26" s="13" t="b">
        <f>IF('[1]گرید مصرف انرژی'!E30&lt;52,TRUE,FALSE)</f>
        <v>0</v>
      </c>
      <c r="E26" s="13" t="b">
        <f>AND(D26,D27)</f>
        <v>0</v>
      </c>
      <c r="F26" s="13" t="s">
        <v>45</v>
      </c>
      <c r="H26" s="13" t="s">
        <v>45</v>
      </c>
      <c r="I26" s="13">
        <v>59</v>
      </c>
      <c r="J26" s="13" t="b">
        <f>IF('[1]مصرف جبرانی فر'!I28&gt;59,TRUE,FALSE)</f>
        <v>1</v>
      </c>
      <c r="K26" s="13" t="b">
        <f>AND(J26,J27)</f>
        <v>1</v>
      </c>
      <c r="L26" s="13" t="s">
        <v>45</v>
      </c>
      <c r="N26" s="12" t="s">
        <v>36</v>
      </c>
      <c r="O26" s="12" t="b">
        <f>IF('توان صنعتی'!E4="G20",TRUE,FALSE)</f>
        <v>0</v>
      </c>
      <c r="P26" s="12" t="b">
        <f>IF('توان صنعتی'!B7="خانگی",TRUE,FALSE)</f>
        <v>0</v>
      </c>
      <c r="Q26" s="12" t="b">
        <f>AND(O26,P26)</f>
        <v>0</v>
      </c>
      <c r="R26" s="12">
        <v>37.78</v>
      </c>
    </row>
    <row r="27" spans="2:18">
      <c r="B27" s="13"/>
      <c r="C27" s="13">
        <v>50</v>
      </c>
      <c r="D27" s="13" t="b">
        <f>IF('[1]گرید مصرف انرژی'!E30&gt;=50,TRUE,FALSE)</f>
        <v>1</v>
      </c>
      <c r="E27" s="13"/>
      <c r="F27" s="13"/>
      <c r="H27" s="13"/>
      <c r="I27" s="13">
        <v>63</v>
      </c>
      <c r="J27" s="13" t="b">
        <f>IF('[1]مصرف جبرانی فر'!I28&lt;=63,TRUE,FALSE)</f>
        <v>1</v>
      </c>
      <c r="K27" s="13"/>
      <c r="L27" s="13"/>
      <c r="N27" s="12" t="s">
        <v>37</v>
      </c>
      <c r="O27" s="12" t="b">
        <f>IF('توان صنعتی'!E4="G20",TRUE,FALSE)</f>
        <v>0</v>
      </c>
      <c r="P27" s="12" t="b">
        <f>IF('توان صنعتی'!B7="صنعتی",TRUE,FALSE)</f>
        <v>1</v>
      </c>
      <c r="Q27" s="12" t="b">
        <f t="shared" ref="Q27:Q29" si="4">AND(O27,P27)</f>
        <v>0</v>
      </c>
      <c r="R27" s="12">
        <v>34.020000000000003</v>
      </c>
    </row>
    <row r="28" spans="2:18">
      <c r="B28" s="13" t="s">
        <v>46</v>
      </c>
      <c r="C28" s="13">
        <v>50</v>
      </c>
      <c r="D28" s="13" t="b">
        <f>IF('[1]گرید مصرف انرژی'!E30&lt;50,TRUE,FALSE)</f>
        <v>0</v>
      </c>
      <c r="E28" s="13" t="b">
        <f>AND(D28,D29)</f>
        <v>0</v>
      </c>
      <c r="F28" s="13" t="s">
        <v>46</v>
      </c>
      <c r="H28" s="13" t="s">
        <v>46</v>
      </c>
      <c r="I28" s="13">
        <v>63</v>
      </c>
      <c r="J28" s="13" t="b">
        <f>IF('[1]مصرف جبرانی فر'!I28&gt;63,TRUE,FALSE)</f>
        <v>0</v>
      </c>
      <c r="K28" s="13" t="b">
        <f>AND(J28,J29)</f>
        <v>0</v>
      </c>
      <c r="L28" s="13" t="s">
        <v>46</v>
      </c>
      <c r="N28" s="12" t="s">
        <v>38</v>
      </c>
      <c r="O28" s="12" t="b">
        <f>IF('توان صنعتی'!E4="G31",TRUE,FALSE)</f>
        <v>1</v>
      </c>
      <c r="P28" s="12" t="b">
        <f>IF('توان صنعتی'!B7="خانگی",TRUE,FALSE)</f>
        <v>0</v>
      </c>
      <c r="Q28" s="12" t="b">
        <f t="shared" si="4"/>
        <v>0</v>
      </c>
      <c r="R28" s="12">
        <v>95.8</v>
      </c>
    </row>
    <row r="29" spans="2:18">
      <c r="B29" s="13"/>
      <c r="C29" s="13">
        <v>48</v>
      </c>
      <c r="D29" s="13" t="b">
        <f>IF('[1]گرید مصرف انرژی'!E30&gt;=48,TRUE,FALSE)</f>
        <v>1</v>
      </c>
      <c r="E29" s="13"/>
      <c r="F29" s="13"/>
      <c r="H29" s="13"/>
      <c r="I29" s="13">
        <v>67</v>
      </c>
      <c r="J29" s="13" t="b">
        <f>IF('[1]مصرف جبرانی فر'!I28&lt;=67,TRUE,FALSE)</f>
        <v>1</v>
      </c>
      <c r="K29" s="13"/>
      <c r="L29" s="13"/>
      <c r="N29" s="12" t="s">
        <v>39</v>
      </c>
      <c r="O29" s="12" t="b">
        <f>IF('توان صنعتی'!E4="G31",TRUE,FALSE)</f>
        <v>1</v>
      </c>
      <c r="P29" s="12" t="b">
        <f>IF('توان صنعتی'!B7="صنعتی",TRUE,FALSE)</f>
        <v>1</v>
      </c>
      <c r="Q29" s="12" t="b">
        <f t="shared" si="4"/>
        <v>1</v>
      </c>
      <c r="R29" s="12">
        <v>88</v>
      </c>
    </row>
    <row r="30" spans="2:18">
      <c r="B30" s="13" t="s">
        <v>47</v>
      </c>
      <c r="C30" s="13">
        <v>47</v>
      </c>
      <c r="D30" s="13" t="b">
        <f>IF('[1]گرید مصرف انرژی'!E30&lt;48,TRUE,FALSE)</f>
        <v>0</v>
      </c>
      <c r="E30" s="13" t="b">
        <f>D30</f>
        <v>0</v>
      </c>
      <c r="F30" s="13" t="s">
        <v>47</v>
      </c>
      <c r="H30" s="13" t="s">
        <v>47</v>
      </c>
      <c r="I30" s="13">
        <v>67</v>
      </c>
      <c r="J30" s="13" t="b">
        <f>IF('[1]مصرف جبرانی فر'!I28&gt;67,TRUE,FALSE)</f>
        <v>0</v>
      </c>
      <c r="K30" s="13" t="b">
        <f>J30</f>
        <v>0</v>
      </c>
      <c r="L30" s="13" t="s">
        <v>47</v>
      </c>
      <c r="N30" s="12"/>
      <c r="O30" s="12"/>
      <c r="P30" s="12"/>
      <c r="Q30" s="12"/>
      <c r="R30" s="12"/>
    </row>
    <row r="31" spans="2:18">
      <c r="C31" t="s">
        <v>48</v>
      </c>
      <c r="I31" t="s">
        <v>49</v>
      </c>
      <c r="N31" s="192" t="s">
        <v>67</v>
      </c>
      <c r="O31" s="192"/>
      <c r="P31" s="192"/>
      <c r="Q31" s="192"/>
      <c r="R31" s="192"/>
    </row>
    <row r="34" spans="2:18">
      <c r="B34" s="12"/>
      <c r="C34" s="12" t="s">
        <v>14</v>
      </c>
      <c r="D34" s="12" t="s">
        <v>34</v>
      </c>
      <c r="E34" s="12" t="s">
        <v>35</v>
      </c>
      <c r="F34" s="12"/>
      <c r="H34" s="12"/>
      <c r="I34" s="12" t="s">
        <v>14</v>
      </c>
      <c r="J34" s="12" t="s">
        <v>34</v>
      </c>
      <c r="K34" s="12" t="s">
        <v>35</v>
      </c>
      <c r="L34" s="12"/>
      <c r="N34" s="12"/>
      <c r="O34" s="12" t="s">
        <v>14</v>
      </c>
      <c r="P34" s="12" t="s">
        <v>34</v>
      </c>
      <c r="Q34" s="12" t="s">
        <v>35</v>
      </c>
      <c r="R34" s="12"/>
    </row>
    <row r="35" spans="2:18">
      <c r="B35" s="12" t="s">
        <v>36</v>
      </c>
      <c r="C35" s="12" t="b">
        <f>IF('ضریب تصحی توان حرارتی صنعتی'!E4="G20",TRUE,FALSE)</f>
        <v>1</v>
      </c>
      <c r="D35" s="12" t="b">
        <f>IF('ضریب تصحی توان حرارتی صنعتی'!B7="خانگی",TRUE,FALSE)</f>
        <v>0</v>
      </c>
      <c r="E35" s="12" t="b">
        <f>AND(C35,D35)</f>
        <v>0</v>
      </c>
      <c r="F35" s="12">
        <v>37.78</v>
      </c>
      <c r="H35" s="12" t="s">
        <v>36</v>
      </c>
      <c r="I35" s="12" t="b">
        <f>IF('ضریب تصحیح بازده صنعتی'!E4="G20",TRUE,FALSE)</f>
        <v>1</v>
      </c>
      <c r="J35" s="12" t="b">
        <f>IF('ضریب تصحیح بازده صنعتی'!B7="خانگی",TRUE,FALSE)</f>
        <v>0</v>
      </c>
      <c r="K35" s="12" t="b">
        <f>AND(I35,J35)</f>
        <v>0</v>
      </c>
      <c r="L35" s="12">
        <v>37.78</v>
      </c>
      <c r="N35" s="12" t="s">
        <v>36</v>
      </c>
      <c r="O35" s="12" t="b">
        <f>IF('بازده صنعتی'!E4="G20",TRUE,FALSE)</f>
        <v>1</v>
      </c>
      <c r="P35" s="12" t="b">
        <f>IF('بازده صنعتی'!B7="خانگی",TRUE,FALSE)</f>
        <v>0</v>
      </c>
      <c r="Q35" s="12" t="b">
        <f>AND(O35,P35)</f>
        <v>0</v>
      </c>
      <c r="R35" s="12">
        <v>37.78</v>
      </c>
    </row>
    <row r="36" spans="2:18">
      <c r="B36" s="12" t="s">
        <v>37</v>
      </c>
      <c r="C36" s="12" t="b">
        <f>IF('ضریب تصحی توان حرارتی صنعتی'!E4="G20",TRUE,FALSE)</f>
        <v>1</v>
      </c>
      <c r="D36" s="12" t="b">
        <f>IF('ضریب تصحی توان حرارتی صنعتی'!B7="صنعتی",TRUE,FALSE)</f>
        <v>1</v>
      </c>
      <c r="E36" s="12" t="b">
        <f t="shared" ref="E36:E38" si="5">AND(C36,D36)</f>
        <v>1</v>
      </c>
      <c r="F36" s="12">
        <v>34.020000000000003</v>
      </c>
      <c r="H36" s="12" t="s">
        <v>37</v>
      </c>
      <c r="I36" s="12" t="b">
        <f>IF('ضریب تصحیح بازده صنعتی'!E4="G20",TRUE,FALSE)</f>
        <v>1</v>
      </c>
      <c r="J36" s="12" t="b">
        <f>IF('ضریب تصحیح بازده صنعتی'!B7="صنعتی",TRUE,FALSE)</f>
        <v>1</v>
      </c>
      <c r="K36" s="12" t="b">
        <f t="shared" ref="K36:K38" si="6">AND(I36,J36)</f>
        <v>1</v>
      </c>
      <c r="L36" s="12">
        <v>34.020000000000003</v>
      </c>
      <c r="N36" s="12" t="s">
        <v>37</v>
      </c>
      <c r="O36" s="12" t="b">
        <f>IF('بازده صنعتی'!E4="G20",TRUE,FALSE)</f>
        <v>1</v>
      </c>
      <c r="P36" s="12" t="b">
        <f>IF('بازده صنعتی'!B7="صنعتی",TRUE,FALSE)</f>
        <v>1</v>
      </c>
      <c r="Q36" s="12" t="b">
        <f t="shared" ref="Q36:Q38" si="7">AND(O36,P36)</f>
        <v>1</v>
      </c>
      <c r="R36" s="12">
        <v>34.020000000000003</v>
      </c>
    </row>
    <row r="37" spans="2:18">
      <c r="B37" s="12" t="s">
        <v>38</v>
      </c>
      <c r="C37" s="12" t="b">
        <f>IF('ضریب تصحی توان حرارتی صنعتی'!E4="G31",TRUE,FALSE)</f>
        <v>0</v>
      </c>
      <c r="D37" s="12" t="b">
        <f>IF('ضریب تصحی توان حرارتی صنعتی'!B7="خانگی",TRUE,FALSE)</f>
        <v>0</v>
      </c>
      <c r="E37" s="12" t="b">
        <f t="shared" si="5"/>
        <v>0</v>
      </c>
      <c r="F37" s="12">
        <v>95.8</v>
      </c>
      <c r="H37" s="12" t="s">
        <v>38</v>
      </c>
      <c r="I37" s="12" t="b">
        <f>IF('ضریب تصحیح بازده صنعتی'!E4="G31",TRUE,FALSE)</f>
        <v>0</v>
      </c>
      <c r="J37" s="12" t="b">
        <f>IF('ضریب تصحیح بازده صنعتی'!B7="خانگی",TRUE,FALSE)</f>
        <v>0</v>
      </c>
      <c r="K37" s="12" t="b">
        <f t="shared" si="6"/>
        <v>0</v>
      </c>
      <c r="L37" s="12">
        <v>95.8</v>
      </c>
      <c r="N37" s="12" t="s">
        <v>38</v>
      </c>
      <c r="O37" s="12" t="b">
        <f>IF('بازده صنعتی'!E4="G31",TRUE,FALSE)</f>
        <v>0</v>
      </c>
      <c r="P37" s="12" t="b">
        <f>IF('بازده صنعتی'!B7="خانگی",TRUE,FALSE)</f>
        <v>0</v>
      </c>
      <c r="Q37" s="12" t="b">
        <f t="shared" si="7"/>
        <v>0</v>
      </c>
      <c r="R37" s="12">
        <v>95.8</v>
      </c>
    </row>
    <row r="38" spans="2:18">
      <c r="B38" s="12" t="s">
        <v>39</v>
      </c>
      <c r="C38" s="12" t="b">
        <f>IF('ضریب تصحی توان حرارتی صنعتی'!E4="G31",TRUE,FALSE)</f>
        <v>0</v>
      </c>
      <c r="D38" s="12" t="b">
        <f>IF('ضریب تصحی توان حرارتی صنعتی'!B7="صنعتی",TRUE,FALSE)</f>
        <v>1</v>
      </c>
      <c r="E38" s="12" t="b">
        <f t="shared" si="5"/>
        <v>0</v>
      </c>
      <c r="F38" s="12">
        <v>88</v>
      </c>
      <c r="H38" s="12" t="s">
        <v>39</v>
      </c>
      <c r="I38" s="12" t="b">
        <f>IF('ضریب تصحیح بازده صنعتی'!E4="G31",TRUE,FALSE)</f>
        <v>0</v>
      </c>
      <c r="J38" s="12" t="b">
        <f>IF('ضریب تصحیح بازده صنعتی'!B7="صنعتی",TRUE,FALSE)</f>
        <v>1</v>
      </c>
      <c r="K38" s="12" t="b">
        <f t="shared" si="6"/>
        <v>0</v>
      </c>
      <c r="L38" s="12">
        <v>88</v>
      </c>
      <c r="N38" s="12" t="s">
        <v>39</v>
      </c>
      <c r="O38" s="12" t="b">
        <f>IF('بازده صنعتی'!E4="G31",TRUE,FALSE)</f>
        <v>0</v>
      </c>
      <c r="P38" s="12" t="b">
        <f>IF('بازده صنعتی'!B7="صنعتی",TRUE,FALSE)</f>
        <v>1</v>
      </c>
      <c r="Q38" s="12" t="b">
        <f t="shared" si="7"/>
        <v>0</v>
      </c>
      <c r="R38" s="12">
        <v>88</v>
      </c>
    </row>
    <row r="39" spans="2:18">
      <c r="B39" s="12"/>
      <c r="C39" s="12"/>
      <c r="D39" s="12"/>
      <c r="E39" s="12"/>
      <c r="F39" s="12"/>
      <c r="H39" s="12"/>
      <c r="I39" s="12"/>
      <c r="J39" s="12"/>
      <c r="K39" s="12"/>
      <c r="L39" s="12"/>
      <c r="N39" s="12"/>
      <c r="O39" s="12"/>
      <c r="P39" s="12"/>
      <c r="Q39" s="12"/>
      <c r="R39" s="12"/>
    </row>
    <row r="40" spans="2:18">
      <c r="B40" s="192" t="s">
        <v>51</v>
      </c>
      <c r="C40" s="192"/>
      <c r="D40" s="192"/>
      <c r="E40" s="192"/>
      <c r="F40" s="192"/>
      <c r="H40" s="192" t="s">
        <v>56</v>
      </c>
      <c r="I40" s="192"/>
      <c r="J40" s="192"/>
      <c r="K40" s="192"/>
      <c r="L40" s="192"/>
      <c r="N40" s="192" t="s">
        <v>75</v>
      </c>
      <c r="O40" s="192"/>
      <c r="P40" s="192"/>
      <c r="Q40" s="192"/>
      <c r="R40" s="192"/>
    </row>
  </sheetData>
  <mergeCells count="12">
    <mergeCell ref="N15:R15"/>
    <mergeCell ref="N23:R23"/>
    <mergeCell ref="B40:F40"/>
    <mergeCell ref="H40:L40"/>
    <mergeCell ref="A3:A4"/>
    <mergeCell ref="B3:B4"/>
    <mergeCell ref="C3:C4"/>
    <mergeCell ref="D3:D4"/>
    <mergeCell ref="B15:F15"/>
    <mergeCell ref="H15:L15"/>
    <mergeCell ref="N31:R31"/>
    <mergeCell ref="N40:R4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90"/>
  <sheetViews>
    <sheetView rightToLeft="1" topLeftCell="A27" workbookViewId="0">
      <selection activeCell="C2" sqref="C2"/>
    </sheetView>
  </sheetViews>
  <sheetFormatPr defaultColWidth="14.25" defaultRowHeight="14.25"/>
  <cols>
    <col min="1" max="1" width="9.75" style="26" customWidth="1"/>
    <col min="2" max="2" width="7.875" style="26" customWidth="1"/>
    <col min="3" max="17" width="9.75" style="26" customWidth="1"/>
    <col min="18" max="16384" width="14.25" style="26"/>
  </cols>
  <sheetData>
    <row r="2" spans="1:16" ht="22.5" thickBot="1">
      <c r="A2" s="27"/>
      <c r="B2" s="28" t="s">
        <v>82</v>
      </c>
      <c r="C2" s="29" t="str">
        <f>احتراق!E4</f>
        <v>G20</v>
      </c>
      <c r="D2" s="30"/>
      <c r="E2" s="30"/>
      <c r="F2" s="30"/>
    </row>
    <row r="3" spans="1:16" ht="19.5" thickBot="1">
      <c r="A3" s="31"/>
      <c r="B3" s="165" t="s">
        <v>83</v>
      </c>
      <c r="C3" s="196"/>
      <c r="D3" s="196"/>
      <c r="E3" s="196"/>
      <c r="F3" s="196"/>
      <c r="G3" s="197"/>
      <c r="H3" s="198" t="s">
        <v>14</v>
      </c>
      <c r="I3" s="196"/>
      <c r="J3" s="196"/>
      <c r="K3" s="199"/>
    </row>
    <row r="4" spans="1:16" ht="19.5" thickBot="1">
      <c r="B4" s="32" t="s">
        <v>84</v>
      </c>
      <c r="C4" s="32" t="s">
        <v>85</v>
      </c>
      <c r="D4" s="32" t="s">
        <v>86</v>
      </c>
      <c r="E4" s="32" t="s">
        <v>87</v>
      </c>
      <c r="F4" s="33" t="s">
        <v>17</v>
      </c>
      <c r="G4" s="34" t="s">
        <v>88</v>
      </c>
      <c r="H4" s="35" t="s">
        <v>89</v>
      </c>
      <c r="I4" s="36" t="s">
        <v>90</v>
      </c>
      <c r="J4" s="36" t="s">
        <v>91</v>
      </c>
      <c r="K4" s="36" t="s">
        <v>92</v>
      </c>
    </row>
    <row r="5" spans="1:16" ht="15.75" thickBot="1">
      <c r="B5" s="37" t="str">
        <f>IF(E79=TRUE,"سوم",IF(D79=TRUE,"دوم",IF(C79=TRUE,"اول","")))</f>
        <v>دوم</v>
      </c>
      <c r="C5" s="37" t="str">
        <f>IF(C2="G32","3B/P &amp; 3B",IF(C2="G31","3B/P &amp; 3B",IF(C2="G30","3B/P",IF(C2="G231","E",IF(C2="G27","L",IF(C2="G26","L",IF(C2="G25","L",IF(C2="G23","H",IF(C2="G222","H &amp; E",IF(C2="G21","H &amp; E",IF(C2="G20","H &amp; E",IF(C2="G112","a",IF(C2="G110","a","")))))))))))))</f>
        <v>H &amp; E</v>
      </c>
      <c r="D5" s="37">
        <f>VLOOKUP(C2,E18:P73,7,TRUE)</f>
        <v>37.78</v>
      </c>
      <c r="E5" s="37">
        <f>VLOOKUP(C2,E18:P73,6,TRUE)</f>
        <v>50.72</v>
      </c>
      <c r="F5" s="38">
        <f>VLOOKUP(C2,E18:P73,8,TRUE)</f>
        <v>0.55500000000000005</v>
      </c>
      <c r="G5" s="39">
        <f>IF(VLOOKUP(C2,E18:P73,9,TRUE)=0,"",VLOOKUP(C2,E18:P73,9,TRUE))</f>
        <v>11.7</v>
      </c>
      <c r="H5" s="40" t="str">
        <f>IF(C2="G31","#",IF(C2="G30","#",IF(C2="G25","#",IF(C2="G20","#",""))))</f>
        <v>#</v>
      </c>
      <c r="I5" s="37" t="str">
        <f>IF(C2="G32","#",IF(C2="31","#",IF(C2="G110","#",IF(C2="G21","#",IF(C2="G26","#",IF(C2="G30","#",""))))))</f>
        <v/>
      </c>
      <c r="J5" s="37" t="str">
        <f>IF(C2="G31","#",IF(C2="G110","#",IF(C2="G23","#",IF(C2="G27","#",IF(C2="G231","#","")))))</f>
        <v/>
      </c>
      <c r="K5" s="37" t="str">
        <f>IF(C2="G112","#",IF(C2="G222","#",IF(C2="G25","#",IF(C2="G32","#",""))))</f>
        <v/>
      </c>
    </row>
    <row r="6" spans="1:16" ht="19.5" thickBot="1">
      <c r="B6" s="165" t="s">
        <v>93</v>
      </c>
      <c r="C6" s="196"/>
      <c r="D6" s="196"/>
      <c r="E6" s="196"/>
      <c r="F6" s="196"/>
      <c r="G6" s="196"/>
      <c r="H6" s="199"/>
      <c r="I6" s="165" t="s">
        <v>20</v>
      </c>
      <c r="J6" s="196"/>
      <c r="K6" s="199"/>
    </row>
    <row r="7" spans="1:16" ht="19.5" thickBot="1">
      <c r="B7" s="41" t="s">
        <v>94</v>
      </c>
      <c r="C7" s="41" t="s">
        <v>95</v>
      </c>
      <c r="D7" s="41" t="s">
        <v>96</v>
      </c>
      <c r="E7" s="41" t="s">
        <v>97</v>
      </c>
      <c r="F7" s="41" t="s">
        <v>98</v>
      </c>
      <c r="G7" s="41" t="s">
        <v>99</v>
      </c>
      <c r="H7" s="41" t="s">
        <v>100</v>
      </c>
      <c r="I7" s="42" t="s">
        <v>101</v>
      </c>
      <c r="J7" s="42" t="s">
        <v>102</v>
      </c>
      <c r="K7" s="42" t="s">
        <v>103</v>
      </c>
    </row>
    <row r="8" spans="1:16" ht="15.75" thickBot="1">
      <c r="B8" s="37">
        <f>IF(C2="G231",F55,IF(C2="G26",F40,IF(C2="G27",F43,IF(C2="G25",F37,IF(C2="G23",F34,IF(C2="G222",F31,IF(C2="G21",F28,IF(C2="G20",F25,IF(C2="G112",F21,IF(C2="G110",F18,"0"))))))))))</f>
        <v>100</v>
      </c>
      <c r="C8" s="37">
        <f>IF(C2="G32",F67,0)</f>
        <v>0</v>
      </c>
      <c r="D8" s="37" t="str">
        <f>IF(C2="G31",F70,IF(C2="G26",F67,IF(C2="G21",F50,"0")))</f>
        <v>0</v>
      </c>
      <c r="E8" s="37">
        <f>IF(C2="G30",50,0)</f>
        <v>0</v>
      </c>
      <c r="F8" s="37">
        <f>IF(C2="G30",50,0)</f>
        <v>0</v>
      </c>
      <c r="G8" s="37" t="str">
        <f>IF(C2="G25",F38,IF(C2="G222",F32,IF(C2="G112",F22,IF(C2="G110",F19,"0"))))</f>
        <v>0</v>
      </c>
      <c r="H8" s="37" t="str">
        <f>IF(C2="G27",F45,IF(C2="G26",F42,IF(C2="G23",F36,IF(C2="G112",F23,IF(C2="G110",F20,"0")))))</f>
        <v>0</v>
      </c>
      <c r="I8" s="37">
        <f>VLOOKUP(C2,A18:P73,14,TRUE)</f>
        <v>20</v>
      </c>
      <c r="J8" s="37">
        <f>VLOOKUP(C2,A18:P73,15,TRUE)</f>
        <v>17</v>
      </c>
      <c r="K8" s="37">
        <f>VLOOKUP(C2,A18:P73,16,TRUE)</f>
        <v>25</v>
      </c>
    </row>
    <row r="10" spans="1:16">
      <c r="I10" s="26">
        <v>180</v>
      </c>
      <c r="J10" s="26">
        <v>90</v>
      </c>
      <c r="K10" s="26">
        <v>270</v>
      </c>
    </row>
    <row r="11" spans="1:16">
      <c r="I11" s="26">
        <v>200</v>
      </c>
      <c r="J11" s="26">
        <v>279</v>
      </c>
      <c r="K11" s="26">
        <v>330</v>
      </c>
    </row>
    <row r="16" spans="1:16" ht="18.75">
      <c r="A16" s="177" t="s">
        <v>104</v>
      </c>
      <c r="B16" s="177" t="s">
        <v>84</v>
      </c>
      <c r="C16" s="177" t="s">
        <v>85</v>
      </c>
      <c r="D16" s="177" t="s">
        <v>14</v>
      </c>
      <c r="E16" s="177" t="s">
        <v>104</v>
      </c>
      <c r="F16" s="191" t="s">
        <v>93</v>
      </c>
      <c r="G16" s="187"/>
      <c r="H16" s="43" t="s">
        <v>105</v>
      </c>
      <c r="I16" s="44" t="s">
        <v>106</v>
      </c>
      <c r="J16" s="44" t="s">
        <v>107</v>
      </c>
      <c r="K16" s="44" t="s">
        <v>108</v>
      </c>
      <c r="L16" s="177" t="s">
        <v>17</v>
      </c>
      <c r="M16" s="44" t="s">
        <v>109</v>
      </c>
      <c r="N16" s="185" t="s">
        <v>110</v>
      </c>
      <c r="O16" s="186"/>
      <c r="P16" s="187"/>
    </row>
    <row r="17" spans="1:17" ht="15.75" thickBot="1">
      <c r="A17" s="170"/>
      <c r="B17" s="170"/>
      <c r="C17" s="170"/>
      <c r="D17" s="170"/>
      <c r="E17" s="170"/>
      <c r="F17" s="188" t="s">
        <v>111</v>
      </c>
      <c r="G17" s="189"/>
      <c r="H17" s="45" t="s">
        <v>112</v>
      </c>
      <c r="I17" s="45" t="s">
        <v>112</v>
      </c>
      <c r="J17" s="45" t="s">
        <v>112</v>
      </c>
      <c r="K17" s="45" t="s">
        <v>112</v>
      </c>
      <c r="L17" s="170"/>
      <c r="M17" s="46" t="s">
        <v>111</v>
      </c>
      <c r="N17" s="46" t="s">
        <v>113</v>
      </c>
      <c r="O17" s="46" t="s">
        <v>114</v>
      </c>
      <c r="P17" s="46" t="s">
        <v>115</v>
      </c>
    </row>
    <row r="18" spans="1:17" ht="19.5" thickTop="1">
      <c r="A18" s="184" t="s">
        <v>116</v>
      </c>
      <c r="B18" s="181" t="s">
        <v>117</v>
      </c>
      <c r="C18" s="168" t="s">
        <v>118</v>
      </c>
      <c r="D18" s="47" t="s">
        <v>119</v>
      </c>
      <c r="E18" s="168" t="s">
        <v>116</v>
      </c>
      <c r="F18" s="48">
        <v>26</v>
      </c>
      <c r="G18" s="48" t="s">
        <v>94</v>
      </c>
      <c r="H18" s="168">
        <v>21.76</v>
      </c>
      <c r="I18" s="168">
        <v>13.95</v>
      </c>
      <c r="J18" s="168">
        <v>24.75</v>
      </c>
      <c r="K18" s="168">
        <v>15.87</v>
      </c>
      <c r="L18" s="183">
        <v>0.41099999999999998</v>
      </c>
      <c r="M18" s="184">
        <v>7.6</v>
      </c>
      <c r="N18" s="184">
        <v>8</v>
      </c>
      <c r="O18" s="184">
        <v>6</v>
      </c>
      <c r="P18" s="184">
        <v>15</v>
      </c>
    </row>
    <row r="19" spans="1:17" ht="18.75">
      <c r="A19" s="169"/>
      <c r="B19" s="169"/>
      <c r="C19" s="169"/>
      <c r="D19" s="43" t="s">
        <v>91</v>
      </c>
      <c r="E19" s="169"/>
      <c r="F19" s="49">
        <v>50</v>
      </c>
      <c r="G19" s="49" t="s">
        <v>99</v>
      </c>
      <c r="H19" s="169"/>
      <c r="I19" s="169"/>
      <c r="J19" s="169"/>
      <c r="K19" s="169"/>
      <c r="L19" s="173"/>
      <c r="M19" s="169"/>
      <c r="N19" s="169"/>
      <c r="O19" s="169"/>
      <c r="P19" s="169"/>
    </row>
    <row r="20" spans="1:17" ht="19.5" thickBot="1">
      <c r="A20" s="169"/>
      <c r="B20" s="169"/>
      <c r="C20" s="169"/>
      <c r="D20" s="50" t="s">
        <v>90</v>
      </c>
      <c r="E20" s="171"/>
      <c r="F20" s="51">
        <v>24</v>
      </c>
      <c r="G20" s="51" t="s">
        <v>100</v>
      </c>
      <c r="H20" s="171"/>
      <c r="I20" s="171"/>
      <c r="J20" s="171"/>
      <c r="K20" s="171"/>
      <c r="L20" s="174"/>
      <c r="M20" s="171"/>
      <c r="N20" s="171"/>
      <c r="O20" s="171"/>
      <c r="P20" s="171"/>
    </row>
    <row r="21" spans="1:17" ht="15.75" customHeight="1">
      <c r="A21" s="168" t="s">
        <v>120</v>
      </c>
      <c r="B21" s="169"/>
      <c r="C21" s="169"/>
      <c r="D21" s="47" t="s">
        <v>119</v>
      </c>
      <c r="E21" s="168" t="s">
        <v>120</v>
      </c>
      <c r="F21" s="48">
        <v>17</v>
      </c>
      <c r="G21" s="48" t="s">
        <v>94</v>
      </c>
      <c r="H21" s="168">
        <v>19.48</v>
      </c>
      <c r="I21" s="168">
        <v>11.81</v>
      </c>
      <c r="J21" s="168">
        <v>22.36</v>
      </c>
      <c r="K21" s="168">
        <v>13.56</v>
      </c>
      <c r="L21" s="172">
        <v>0.36699999999999999</v>
      </c>
      <c r="M21" s="168"/>
      <c r="N21" s="168">
        <v>8</v>
      </c>
      <c r="O21" s="168">
        <v>6</v>
      </c>
      <c r="P21" s="168">
        <v>15</v>
      </c>
    </row>
    <row r="22" spans="1:17" ht="15.75" customHeight="1">
      <c r="A22" s="169"/>
      <c r="B22" s="169"/>
      <c r="C22" s="169"/>
      <c r="D22" s="43" t="s">
        <v>121</v>
      </c>
      <c r="E22" s="169"/>
      <c r="F22" s="49">
        <v>59</v>
      </c>
      <c r="G22" s="49" t="s">
        <v>99</v>
      </c>
      <c r="H22" s="169"/>
      <c r="I22" s="169"/>
      <c r="J22" s="169"/>
      <c r="K22" s="169"/>
      <c r="L22" s="173"/>
      <c r="M22" s="169"/>
      <c r="N22" s="169"/>
      <c r="O22" s="169"/>
      <c r="P22" s="169"/>
    </row>
    <row r="23" spans="1:17" ht="15.75" customHeight="1">
      <c r="A23" s="182"/>
      <c r="B23" s="182"/>
      <c r="C23" s="182"/>
      <c r="D23" s="52"/>
      <c r="E23" s="182"/>
      <c r="F23" s="49">
        <v>24</v>
      </c>
      <c r="G23" s="49" t="s">
        <v>100</v>
      </c>
      <c r="H23" s="182"/>
      <c r="I23" s="182"/>
      <c r="J23" s="182"/>
      <c r="K23" s="182"/>
      <c r="L23" s="190"/>
      <c r="M23" s="182"/>
      <c r="N23" s="182"/>
      <c r="O23" s="182"/>
      <c r="P23" s="182"/>
    </row>
    <row r="24" spans="1:17" ht="6" customHeight="1" thickBo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4"/>
      <c r="Q24" s="27"/>
    </row>
    <row r="25" spans="1:17" ht="18.75" customHeight="1">
      <c r="A25" s="168" t="s">
        <v>27</v>
      </c>
      <c r="B25" s="181" t="s">
        <v>122</v>
      </c>
      <c r="C25" s="168" t="s">
        <v>123</v>
      </c>
      <c r="D25" s="181" t="s">
        <v>124</v>
      </c>
      <c r="E25" s="168" t="s">
        <v>27</v>
      </c>
      <c r="F25" s="48">
        <v>100</v>
      </c>
      <c r="G25" s="48" t="s">
        <v>94</v>
      </c>
      <c r="H25" s="168">
        <v>46.67</v>
      </c>
      <c r="I25" s="168">
        <v>34.020000000000003</v>
      </c>
      <c r="J25" s="168">
        <v>50.72</v>
      </c>
      <c r="K25" s="168">
        <v>37.78</v>
      </c>
      <c r="L25" s="172">
        <v>0.55500000000000005</v>
      </c>
      <c r="M25" s="168">
        <v>11.7</v>
      </c>
      <c r="N25" s="168">
        <v>20</v>
      </c>
      <c r="O25" s="168">
        <v>17</v>
      </c>
      <c r="P25" s="168">
        <v>25</v>
      </c>
    </row>
    <row r="26" spans="1:17" ht="15.75" customHeight="1">
      <c r="A26" s="169"/>
      <c r="B26" s="169"/>
      <c r="C26" s="169"/>
      <c r="D26" s="169"/>
      <c r="E26" s="169"/>
      <c r="F26" s="55">
        <v>0</v>
      </c>
      <c r="G26" s="49" t="s">
        <v>99</v>
      </c>
      <c r="H26" s="169"/>
      <c r="I26" s="169"/>
      <c r="J26" s="169"/>
      <c r="K26" s="169"/>
      <c r="L26" s="173"/>
      <c r="M26" s="169"/>
      <c r="N26" s="169"/>
      <c r="O26" s="169"/>
      <c r="P26" s="169"/>
    </row>
    <row r="27" spans="1:17" ht="15.75" customHeight="1" thickBot="1">
      <c r="A27" s="171"/>
      <c r="B27" s="169"/>
      <c r="C27" s="169"/>
      <c r="D27" s="171"/>
      <c r="E27" s="171"/>
      <c r="F27" s="56">
        <v>0</v>
      </c>
      <c r="G27" s="51" t="s">
        <v>100</v>
      </c>
      <c r="H27" s="171"/>
      <c r="I27" s="171"/>
      <c r="J27" s="171"/>
      <c r="K27" s="171"/>
      <c r="L27" s="174"/>
      <c r="M27" s="171"/>
      <c r="N27" s="171"/>
      <c r="O27" s="171"/>
      <c r="P27" s="171"/>
    </row>
    <row r="28" spans="1:17" ht="18.75">
      <c r="A28" s="168" t="s">
        <v>125</v>
      </c>
      <c r="B28" s="169"/>
      <c r="C28" s="169"/>
      <c r="D28" s="47" t="s">
        <v>119</v>
      </c>
      <c r="E28" s="168" t="s">
        <v>125</v>
      </c>
      <c r="F28" s="48">
        <v>87</v>
      </c>
      <c r="G28" s="48" t="s">
        <v>94</v>
      </c>
      <c r="H28" s="168">
        <v>49.6</v>
      </c>
      <c r="I28" s="168">
        <v>41.01</v>
      </c>
      <c r="J28" s="168">
        <v>54.76</v>
      </c>
      <c r="K28" s="168">
        <v>45.28</v>
      </c>
      <c r="L28" s="172">
        <v>0.68400000000000005</v>
      </c>
      <c r="M28" s="168">
        <v>12.2</v>
      </c>
      <c r="N28" s="168">
        <v>20</v>
      </c>
      <c r="O28" s="168">
        <v>17</v>
      </c>
      <c r="P28" s="168">
        <v>25</v>
      </c>
    </row>
    <row r="29" spans="1:17" ht="18.75">
      <c r="A29" s="169"/>
      <c r="B29" s="169"/>
      <c r="C29" s="169"/>
      <c r="D29" s="43" t="s">
        <v>90</v>
      </c>
      <c r="E29" s="169"/>
      <c r="F29" s="55">
        <v>13</v>
      </c>
      <c r="G29" s="49" t="s">
        <v>96</v>
      </c>
      <c r="H29" s="169"/>
      <c r="I29" s="169"/>
      <c r="J29" s="169"/>
      <c r="K29" s="169"/>
      <c r="L29" s="173"/>
      <c r="M29" s="169"/>
      <c r="N29" s="169"/>
      <c r="O29" s="169"/>
      <c r="P29" s="169"/>
    </row>
    <row r="30" spans="1:17" ht="19.5" thickBot="1">
      <c r="A30" s="171"/>
      <c r="B30" s="169"/>
      <c r="C30" s="169"/>
      <c r="D30" s="50"/>
      <c r="E30" s="171"/>
      <c r="F30" s="56">
        <v>0</v>
      </c>
      <c r="G30" s="51" t="s">
        <v>100</v>
      </c>
      <c r="H30" s="171"/>
      <c r="I30" s="171"/>
      <c r="J30" s="171"/>
      <c r="K30" s="171"/>
      <c r="L30" s="174"/>
      <c r="M30" s="171"/>
      <c r="N30" s="171"/>
      <c r="O30" s="171"/>
      <c r="P30" s="171"/>
    </row>
    <row r="31" spans="1:17" ht="18.75">
      <c r="A31" s="168" t="s">
        <v>126</v>
      </c>
      <c r="B31" s="169"/>
      <c r="C31" s="169"/>
      <c r="D31" s="47" t="s">
        <v>119</v>
      </c>
      <c r="E31" s="168" t="s">
        <v>126</v>
      </c>
      <c r="F31" s="57">
        <v>77</v>
      </c>
      <c r="G31" s="48" t="s">
        <v>94</v>
      </c>
      <c r="H31" s="168">
        <v>42.87</v>
      </c>
      <c r="I31" s="168">
        <v>28.53</v>
      </c>
      <c r="J31" s="168">
        <v>47.87</v>
      </c>
      <c r="K31" s="168">
        <v>31.86</v>
      </c>
      <c r="L31" s="172">
        <v>0.443</v>
      </c>
      <c r="M31" s="168"/>
      <c r="N31" s="168">
        <v>20</v>
      </c>
      <c r="O31" s="168">
        <v>17</v>
      </c>
      <c r="P31" s="168">
        <v>25</v>
      </c>
    </row>
    <row r="32" spans="1:17" ht="15.75" customHeight="1">
      <c r="A32" s="169"/>
      <c r="B32" s="169"/>
      <c r="C32" s="169"/>
      <c r="D32" s="43" t="s">
        <v>121</v>
      </c>
      <c r="E32" s="169"/>
      <c r="F32" s="55">
        <v>23</v>
      </c>
      <c r="G32" s="49" t="s">
        <v>99</v>
      </c>
      <c r="H32" s="169"/>
      <c r="I32" s="169"/>
      <c r="J32" s="169"/>
      <c r="K32" s="169"/>
      <c r="L32" s="173"/>
      <c r="M32" s="169"/>
      <c r="N32" s="169"/>
      <c r="O32" s="169"/>
      <c r="P32" s="169"/>
    </row>
    <row r="33" spans="1:16" ht="19.5" thickBot="1">
      <c r="A33" s="171"/>
      <c r="B33" s="169"/>
      <c r="C33" s="169"/>
      <c r="D33" s="50"/>
      <c r="E33" s="171"/>
      <c r="F33" s="56">
        <v>0</v>
      </c>
      <c r="G33" s="51" t="s">
        <v>100</v>
      </c>
      <c r="H33" s="171"/>
      <c r="I33" s="171"/>
      <c r="J33" s="171"/>
      <c r="K33" s="171"/>
      <c r="L33" s="174"/>
      <c r="M33" s="171"/>
      <c r="N33" s="171"/>
      <c r="O33" s="171"/>
      <c r="P33" s="171"/>
    </row>
    <row r="34" spans="1:16" ht="18.75">
      <c r="A34" s="168" t="s">
        <v>127</v>
      </c>
      <c r="B34" s="169"/>
      <c r="C34" s="169"/>
      <c r="D34" s="47" t="s">
        <v>119</v>
      </c>
      <c r="E34" s="168" t="s">
        <v>127</v>
      </c>
      <c r="F34" s="57">
        <v>92.5</v>
      </c>
      <c r="G34" s="48" t="s">
        <v>94</v>
      </c>
      <c r="H34" s="168">
        <v>41.11</v>
      </c>
      <c r="I34" s="168">
        <v>31.46</v>
      </c>
      <c r="J34" s="168">
        <v>45.66</v>
      </c>
      <c r="K34" s="168">
        <v>34.950000000000003</v>
      </c>
      <c r="L34" s="172">
        <v>0.58599999999999997</v>
      </c>
      <c r="M34" s="168"/>
      <c r="N34" s="168">
        <v>20</v>
      </c>
      <c r="O34" s="168">
        <v>17</v>
      </c>
      <c r="P34" s="168">
        <v>25</v>
      </c>
    </row>
    <row r="35" spans="1:16" ht="18.75">
      <c r="A35" s="169"/>
      <c r="B35" s="169"/>
      <c r="C35" s="169"/>
      <c r="D35" s="43" t="s">
        <v>91</v>
      </c>
      <c r="E35" s="169"/>
      <c r="F35" s="55">
        <v>0</v>
      </c>
      <c r="G35" s="49" t="s">
        <v>99</v>
      </c>
      <c r="H35" s="169"/>
      <c r="I35" s="169"/>
      <c r="J35" s="169"/>
      <c r="K35" s="169"/>
      <c r="L35" s="173"/>
      <c r="M35" s="169"/>
      <c r="N35" s="169"/>
      <c r="O35" s="169"/>
      <c r="P35" s="169"/>
    </row>
    <row r="36" spans="1:16" ht="19.5" thickBot="1">
      <c r="A36" s="170"/>
      <c r="B36" s="169"/>
      <c r="C36" s="170"/>
      <c r="D36" s="58"/>
      <c r="E36" s="170"/>
      <c r="F36" s="46">
        <v>7.5</v>
      </c>
      <c r="G36" s="59" t="s">
        <v>100</v>
      </c>
      <c r="H36" s="170"/>
      <c r="I36" s="170"/>
      <c r="J36" s="170"/>
      <c r="K36" s="170"/>
      <c r="L36" s="175"/>
      <c r="M36" s="170"/>
      <c r="N36" s="170"/>
      <c r="O36" s="170"/>
      <c r="P36" s="170"/>
    </row>
    <row r="37" spans="1:16" ht="19.5" thickTop="1">
      <c r="A37" s="168" t="s">
        <v>128</v>
      </c>
      <c r="B37" s="169"/>
      <c r="C37" s="168" t="s">
        <v>129</v>
      </c>
      <c r="D37" s="60" t="s">
        <v>124</v>
      </c>
      <c r="E37" s="168" t="s">
        <v>128</v>
      </c>
      <c r="F37" s="57">
        <v>86</v>
      </c>
      <c r="G37" s="48" t="s">
        <v>94</v>
      </c>
      <c r="H37" s="168">
        <v>37.380000000000003</v>
      </c>
      <c r="I37" s="168">
        <v>29.25</v>
      </c>
      <c r="J37" s="168">
        <v>41.52</v>
      </c>
      <c r="K37" s="168">
        <v>32.49</v>
      </c>
      <c r="L37" s="172">
        <v>0.61199999999999999</v>
      </c>
      <c r="M37" s="168">
        <v>11.5</v>
      </c>
      <c r="N37" s="168">
        <v>25</v>
      </c>
      <c r="O37" s="168">
        <v>20</v>
      </c>
      <c r="P37" s="168">
        <v>30</v>
      </c>
    </row>
    <row r="38" spans="1:16" ht="18.75">
      <c r="A38" s="169"/>
      <c r="B38" s="169"/>
      <c r="C38" s="169"/>
      <c r="D38" s="43" t="s">
        <v>119</v>
      </c>
      <c r="E38" s="169"/>
      <c r="F38" s="55">
        <v>14</v>
      </c>
      <c r="G38" s="49" t="s">
        <v>99</v>
      </c>
      <c r="H38" s="169"/>
      <c r="I38" s="169"/>
      <c r="J38" s="169"/>
      <c r="K38" s="169"/>
      <c r="L38" s="173"/>
      <c r="M38" s="169"/>
      <c r="N38" s="169"/>
      <c r="O38" s="169"/>
      <c r="P38" s="169"/>
    </row>
    <row r="39" spans="1:16" ht="19.5" thickBot="1">
      <c r="A39" s="171"/>
      <c r="B39" s="169"/>
      <c r="C39" s="169"/>
      <c r="D39" s="50" t="s">
        <v>121</v>
      </c>
      <c r="E39" s="171"/>
      <c r="F39" s="61"/>
      <c r="G39" s="51" t="s">
        <v>100</v>
      </c>
      <c r="H39" s="171"/>
      <c r="I39" s="171"/>
      <c r="J39" s="171"/>
      <c r="K39" s="171"/>
      <c r="L39" s="174"/>
      <c r="M39" s="171"/>
      <c r="N39" s="171"/>
      <c r="O39" s="171"/>
      <c r="P39" s="171"/>
    </row>
    <row r="40" spans="1:16" ht="18.75">
      <c r="A40" s="168" t="s">
        <v>130</v>
      </c>
      <c r="B40" s="169"/>
      <c r="C40" s="169"/>
      <c r="D40" s="47" t="s">
        <v>119</v>
      </c>
      <c r="E40" s="168" t="s">
        <v>130</v>
      </c>
      <c r="F40" s="57">
        <v>80</v>
      </c>
      <c r="G40" s="48" t="s">
        <v>94</v>
      </c>
      <c r="H40" s="168">
        <v>40.520000000000003</v>
      </c>
      <c r="I40" s="168">
        <v>33.36</v>
      </c>
      <c r="J40" s="168">
        <v>44.83</v>
      </c>
      <c r="K40" s="168">
        <v>36.909999999999997</v>
      </c>
      <c r="L40" s="172">
        <v>0.67800000000000005</v>
      </c>
      <c r="M40" s="168">
        <v>11.9</v>
      </c>
      <c r="N40" s="168">
        <v>25</v>
      </c>
      <c r="O40" s="168">
        <v>20</v>
      </c>
      <c r="P40" s="168">
        <v>30</v>
      </c>
    </row>
    <row r="41" spans="1:16" ht="18.75">
      <c r="A41" s="169"/>
      <c r="B41" s="169"/>
      <c r="C41" s="169"/>
      <c r="D41" s="43" t="s">
        <v>90</v>
      </c>
      <c r="E41" s="169"/>
      <c r="F41" s="55">
        <v>7</v>
      </c>
      <c r="G41" s="49" t="s">
        <v>96</v>
      </c>
      <c r="H41" s="169"/>
      <c r="I41" s="169"/>
      <c r="J41" s="169"/>
      <c r="K41" s="169"/>
      <c r="L41" s="173"/>
      <c r="M41" s="169"/>
      <c r="N41" s="169"/>
      <c r="O41" s="169"/>
      <c r="P41" s="169"/>
    </row>
    <row r="42" spans="1:16" ht="19.5" thickBot="1">
      <c r="A42" s="171"/>
      <c r="B42" s="169"/>
      <c r="C42" s="169"/>
      <c r="D42" s="50"/>
      <c r="E42" s="171"/>
      <c r="F42" s="56">
        <v>13</v>
      </c>
      <c r="G42" s="51" t="s">
        <v>100</v>
      </c>
      <c r="H42" s="171"/>
      <c r="I42" s="171"/>
      <c r="J42" s="171"/>
      <c r="K42" s="171"/>
      <c r="L42" s="174"/>
      <c r="M42" s="171"/>
      <c r="N42" s="171"/>
      <c r="O42" s="171"/>
      <c r="P42" s="171"/>
    </row>
    <row r="43" spans="1:16" ht="18.75">
      <c r="A43" s="168" t="s">
        <v>131</v>
      </c>
      <c r="B43" s="169"/>
      <c r="C43" s="169"/>
      <c r="D43" s="62" t="s">
        <v>119</v>
      </c>
      <c r="E43" s="168" t="s">
        <v>131</v>
      </c>
      <c r="F43" s="57">
        <v>82</v>
      </c>
      <c r="G43" s="48" t="s">
        <v>94</v>
      </c>
      <c r="H43" s="168">
        <v>35.17</v>
      </c>
      <c r="I43" s="168">
        <v>27.89</v>
      </c>
      <c r="J43" s="168">
        <v>39.06</v>
      </c>
      <c r="K43" s="168">
        <v>30.98</v>
      </c>
      <c r="L43" s="172">
        <v>629</v>
      </c>
      <c r="M43" s="168"/>
      <c r="N43" s="168">
        <v>25</v>
      </c>
      <c r="O43" s="168">
        <v>20</v>
      </c>
      <c r="P43" s="168">
        <v>30</v>
      </c>
    </row>
    <row r="44" spans="1:16" ht="18.75">
      <c r="A44" s="169"/>
      <c r="B44" s="169"/>
      <c r="C44" s="169"/>
      <c r="D44" s="63" t="s">
        <v>91</v>
      </c>
      <c r="E44" s="169"/>
      <c r="F44" s="55">
        <v>0</v>
      </c>
      <c r="G44" s="49" t="s">
        <v>99</v>
      </c>
      <c r="H44" s="169"/>
      <c r="I44" s="169"/>
      <c r="J44" s="169"/>
      <c r="K44" s="169"/>
      <c r="L44" s="173"/>
      <c r="M44" s="169"/>
      <c r="N44" s="169"/>
      <c r="O44" s="169"/>
      <c r="P44" s="169"/>
    </row>
    <row r="45" spans="1:16" ht="15.75" thickBot="1">
      <c r="A45" s="170"/>
      <c r="B45" s="169"/>
      <c r="C45" s="170"/>
      <c r="D45" s="45"/>
      <c r="E45" s="170"/>
      <c r="F45" s="46">
        <v>18</v>
      </c>
      <c r="G45" s="59" t="s">
        <v>100</v>
      </c>
      <c r="H45" s="170"/>
      <c r="I45" s="170"/>
      <c r="J45" s="170"/>
      <c r="K45" s="170"/>
      <c r="L45" s="175"/>
      <c r="M45" s="170"/>
      <c r="N45" s="170"/>
      <c r="O45" s="170"/>
      <c r="P45" s="170"/>
    </row>
    <row r="46" spans="1:16" ht="15" thickTop="1">
      <c r="A46" s="168" t="s">
        <v>27</v>
      </c>
      <c r="B46" s="169"/>
      <c r="C46" s="168" t="s">
        <v>44</v>
      </c>
      <c r="D46" s="181" t="s">
        <v>124</v>
      </c>
      <c r="E46" s="168" t="s">
        <v>27</v>
      </c>
      <c r="F46" s="48">
        <v>100</v>
      </c>
      <c r="G46" s="48" t="s">
        <v>94</v>
      </c>
      <c r="H46" s="168">
        <v>46.67</v>
      </c>
      <c r="I46" s="168">
        <v>34.020000000000003</v>
      </c>
      <c r="J46" s="168">
        <v>50.72</v>
      </c>
      <c r="K46" s="168">
        <v>37.78</v>
      </c>
      <c r="L46" s="172">
        <v>0.55500000000000005</v>
      </c>
      <c r="M46" s="168">
        <v>11.7</v>
      </c>
      <c r="N46" s="168">
        <v>20</v>
      </c>
      <c r="O46" s="168">
        <v>17</v>
      </c>
      <c r="P46" s="168">
        <v>25</v>
      </c>
    </row>
    <row r="47" spans="1:16" ht="15">
      <c r="A47" s="169"/>
      <c r="B47" s="169"/>
      <c r="C47" s="169"/>
      <c r="D47" s="169"/>
      <c r="E47" s="169"/>
      <c r="F47" s="55">
        <v>0</v>
      </c>
      <c r="G47" s="49" t="s">
        <v>99</v>
      </c>
      <c r="H47" s="169"/>
      <c r="I47" s="169"/>
      <c r="J47" s="169"/>
      <c r="K47" s="169"/>
      <c r="L47" s="173"/>
      <c r="M47" s="169"/>
      <c r="N47" s="169"/>
      <c r="O47" s="169"/>
      <c r="P47" s="169"/>
    </row>
    <row r="48" spans="1:16" ht="15.75" thickBot="1">
      <c r="A48" s="171"/>
      <c r="B48" s="169"/>
      <c r="C48" s="169"/>
      <c r="D48" s="171"/>
      <c r="E48" s="171"/>
      <c r="F48" s="56">
        <v>0</v>
      </c>
      <c r="G48" s="51" t="s">
        <v>100</v>
      </c>
      <c r="H48" s="171"/>
      <c r="I48" s="171"/>
      <c r="J48" s="171"/>
      <c r="K48" s="171"/>
      <c r="L48" s="174"/>
      <c r="M48" s="171"/>
      <c r="N48" s="171"/>
      <c r="O48" s="171"/>
      <c r="P48" s="171"/>
    </row>
    <row r="49" spans="1:16" ht="18.75">
      <c r="A49" s="168" t="s">
        <v>125</v>
      </c>
      <c r="B49" s="169"/>
      <c r="C49" s="169"/>
      <c r="D49" s="47" t="s">
        <v>119</v>
      </c>
      <c r="E49" s="168" t="s">
        <v>125</v>
      </c>
      <c r="F49" s="48">
        <v>87</v>
      </c>
      <c r="G49" s="48" t="s">
        <v>94</v>
      </c>
      <c r="H49" s="168">
        <v>49.6</v>
      </c>
      <c r="I49" s="168">
        <v>41.01</v>
      </c>
      <c r="J49" s="168">
        <v>54.76</v>
      </c>
      <c r="K49" s="168">
        <v>45.28</v>
      </c>
      <c r="L49" s="172">
        <v>0.68400000000000005</v>
      </c>
      <c r="M49" s="168">
        <v>12.2</v>
      </c>
      <c r="N49" s="168">
        <v>20</v>
      </c>
      <c r="O49" s="168">
        <v>17</v>
      </c>
      <c r="P49" s="168">
        <v>25</v>
      </c>
    </row>
    <row r="50" spans="1:16" ht="18.75">
      <c r="A50" s="169"/>
      <c r="B50" s="169"/>
      <c r="C50" s="169"/>
      <c r="D50" s="43" t="s">
        <v>90</v>
      </c>
      <c r="E50" s="169"/>
      <c r="F50" s="55">
        <v>13</v>
      </c>
      <c r="G50" s="49" t="s">
        <v>96</v>
      </c>
      <c r="H50" s="169"/>
      <c r="I50" s="169"/>
      <c r="J50" s="169"/>
      <c r="K50" s="169"/>
      <c r="L50" s="173"/>
      <c r="M50" s="169"/>
      <c r="N50" s="169"/>
      <c r="O50" s="169"/>
      <c r="P50" s="169"/>
    </row>
    <row r="51" spans="1:16" ht="19.5" thickBot="1">
      <c r="A51" s="171"/>
      <c r="B51" s="169"/>
      <c r="C51" s="169"/>
      <c r="D51" s="50"/>
      <c r="E51" s="171"/>
      <c r="F51" s="56">
        <v>0</v>
      </c>
      <c r="G51" s="51" t="s">
        <v>100</v>
      </c>
      <c r="H51" s="171"/>
      <c r="I51" s="171"/>
      <c r="J51" s="171"/>
      <c r="K51" s="171"/>
      <c r="L51" s="174"/>
      <c r="M51" s="171"/>
      <c r="N51" s="171"/>
      <c r="O51" s="171"/>
      <c r="P51" s="171"/>
    </row>
    <row r="52" spans="1:16" ht="18.75">
      <c r="A52" s="168" t="s">
        <v>126</v>
      </c>
      <c r="B52" s="169"/>
      <c r="C52" s="169"/>
      <c r="D52" s="47" t="s">
        <v>119</v>
      </c>
      <c r="E52" s="168" t="s">
        <v>126</v>
      </c>
      <c r="F52" s="57">
        <v>77</v>
      </c>
      <c r="G52" s="48" t="s">
        <v>94</v>
      </c>
      <c r="H52" s="168">
        <v>42.87</v>
      </c>
      <c r="I52" s="168">
        <v>28.53</v>
      </c>
      <c r="J52" s="168">
        <v>47.87</v>
      </c>
      <c r="K52" s="168">
        <v>31.86</v>
      </c>
      <c r="L52" s="172">
        <v>0.443</v>
      </c>
      <c r="M52" s="168"/>
      <c r="N52" s="168">
        <v>20</v>
      </c>
      <c r="O52" s="168">
        <v>17</v>
      </c>
      <c r="P52" s="168">
        <v>25</v>
      </c>
    </row>
    <row r="53" spans="1:16" ht="18.75">
      <c r="A53" s="169"/>
      <c r="B53" s="169"/>
      <c r="C53" s="169"/>
      <c r="D53" s="43" t="s">
        <v>121</v>
      </c>
      <c r="E53" s="169"/>
      <c r="F53" s="55">
        <v>23</v>
      </c>
      <c r="G53" s="49" t="s">
        <v>99</v>
      </c>
      <c r="H53" s="169"/>
      <c r="I53" s="169"/>
      <c r="J53" s="169"/>
      <c r="K53" s="169"/>
      <c r="L53" s="173"/>
      <c r="M53" s="169"/>
      <c r="N53" s="169"/>
      <c r="O53" s="169"/>
      <c r="P53" s="169"/>
    </row>
    <row r="54" spans="1:16" ht="19.5" thickBot="1">
      <c r="A54" s="171"/>
      <c r="B54" s="169"/>
      <c r="C54" s="169"/>
      <c r="D54" s="50"/>
      <c r="E54" s="171"/>
      <c r="F54" s="56">
        <v>0</v>
      </c>
      <c r="G54" s="51" t="s">
        <v>100</v>
      </c>
      <c r="H54" s="171"/>
      <c r="I54" s="171"/>
      <c r="J54" s="171"/>
      <c r="K54" s="171"/>
      <c r="L54" s="174"/>
      <c r="M54" s="171"/>
      <c r="N54" s="171"/>
      <c r="O54" s="171"/>
      <c r="P54" s="171"/>
    </row>
    <row r="55" spans="1:16" ht="18.75">
      <c r="A55" s="168" t="s">
        <v>132</v>
      </c>
      <c r="B55" s="169"/>
      <c r="C55" s="169"/>
      <c r="D55" s="47" t="s">
        <v>119</v>
      </c>
      <c r="E55" s="168" t="s">
        <v>132</v>
      </c>
      <c r="F55" s="57">
        <v>85</v>
      </c>
      <c r="G55" s="48" t="s">
        <v>94</v>
      </c>
      <c r="H55" s="178">
        <v>36.82</v>
      </c>
      <c r="I55" s="178">
        <v>28.91</v>
      </c>
      <c r="J55" s="178">
        <v>40.9</v>
      </c>
      <c r="K55" s="179">
        <v>32.11</v>
      </c>
      <c r="L55" s="178">
        <v>0.61699999999999999</v>
      </c>
      <c r="M55" s="168"/>
      <c r="N55" s="168">
        <v>20</v>
      </c>
      <c r="O55" s="168">
        <v>17</v>
      </c>
      <c r="P55" s="168">
        <v>25</v>
      </c>
    </row>
    <row r="56" spans="1:16" ht="18.75">
      <c r="A56" s="169"/>
      <c r="B56" s="169"/>
      <c r="C56" s="169"/>
      <c r="D56" s="43" t="s">
        <v>91</v>
      </c>
      <c r="E56" s="169"/>
      <c r="F56" s="55">
        <v>0</v>
      </c>
      <c r="G56" s="49" t="s">
        <v>99</v>
      </c>
      <c r="H56" s="169"/>
      <c r="I56" s="169"/>
      <c r="J56" s="169"/>
      <c r="K56" s="173"/>
      <c r="L56" s="169"/>
      <c r="M56" s="169"/>
      <c r="N56" s="169"/>
      <c r="O56" s="169"/>
      <c r="P56" s="169"/>
    </row>
    <row r="57" spans="1:16" ht="15.75" thickBot="1">
      <c r="A57" s="171"/>
      <c r="B57" s="171"/>
      <c r="C57" s="171"/>
      <c r="D57" s="64"/>
      <c r="E57" s="171"/>
      <c r="F57" s="56">
        <v>15</v>
      </c>
      <c r="G57" s="51" t="s">
        <v>100</v>
      </c>
      <c r="H57" s="171"/>
      <c r="I57" s="171"/>
      <c r="J57" s="171"/>
      <c r="K57" s="174"/>
      <c r="L57" s="171"/>
      <c r="M57" s="171"/>
      <c r="N57" s="171"/>
      <c r="O57" s="171"/>
      <c r="P57" s="171"/>
    </row>
    <row r="58" spans="1:16" ht="15">
      <c r="L58" s="27"/>
      <c r="M58" s="65"/>
      <c r="N58" s="65"/>
      <c r="O58" s="65"/>
      <c r="P58" s="65"/>
    </row>
    <row r="59" spans="1:16" ht="18.75">
      <c r="A59" s="176" t="s">
        <v>133</v>
      </c>
      <c r="B59" s="177" t="s">
        <v>134</v>
      </c>
      <c r="C59" s="176" t="s">
        <v>135</v>
      </c>
      <c r="D59" s="43" t="s">
        <v>124</v>
      </c>
      <c r="E59" s="176" t="s">
        <v>133</v>
      </c>
      <c r="F59" s="55">
        <v>50</v>
      </c>
      <c r="G59" s="49" t="s">
        <v>97</v>
      </c>
      <c r="H59" s="176">
        <v>80.58</v>
      </c>
      <c r="I59" s="176">
        <v>116.09</v>
      </c>
      <c r="J59" s="176">
        <v>87.33</v>
      </c>
      <c r="K59" s="176">
        <v>125.81</v>
      </c>
      <c r="L59" s="176">
        <v>2.0750000000000002</v>
      </c>
      <c r="M59" s="176">
        <v>14</v>
      </c>
      <c r="N59" s="176">
        <v>29</v>
      </c>
      <c r="O59" s="176">
        <v>25</v>
      </c>
      <c r="P59" s="176">
        <v>35</v>
      </c>
    </row>
    <row r="60" spans="1:16" ht="18.75">
      <c r="A60" s="169"/>
      <c r="B60" s="169"/>
      <c r="C60" s="169"/>
      <c r="D60" s="43" t="s">
        <v>119</v>
      </c>
      <c r="E60" s="169"/>
      <c r="F60" s="55">
        <v>50</v>
      </c>
      <c r="G60" s="49" t="s">
        <v>98</v>
      </c>
      <c r="H60" s="169"/>
      <c r="I60" s="169"/>
      <c r="J60" s="169"/>
      <c r="K60" s="169"/>
      <c r="L60" s="169"/>
      <c r="M60" s="169"/>
      <c r="N60" s="169"/>
      <c r="O60" s="169"/>
      <c r="P60" s="169"/>
    </row>
    <row r="61" spans="1:16" ht="19.5" thickBot="1">
      <c r="A61" s="171"/>
      <c r="B61" s="169"/>
      <c r="C61" s="169"/>
      <c r="D61" s="50" t="s">
        <v>90</v>
      </c>
      <c r="E61" s="171"/>
      <c r="F61" s="56">
        <v>0</v>
      </c>
      <c r="G61" s="51" t="s">
        <v>96</v>
      </c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8.75">
      <c r="A62" s="168" t="s">
        <v>30</v>
      </c>
      <c r="B62" s="169"/>
      <c r="C62" s="169"/>
      <c r="D62" s="47" t="s">
        <v>119</v>
      </c>
      <c r="E62" s="168" t="s">
        <v>30</v>
      </c>
      <c r="F62" s="57">
        <v>0</v>
      </c>
      <c r="G62" s="48" t="s">
        <v>97</v>
      </c>
      <c r="H62" s="168">
        <v>70.69</v>
      </c>
      <c r="I62" s="168">
        <v>88</v>
      </c>
      <c r="J62" s="168">
        <v>76.84</v>
      </c>
      <c r="K62" s="168">
        <v>95.65</v>
      </c>
      <c r="L62" s="172">
        <v>1.5549999999999999</v>
      </c>
      <c r="M62" s="168">
        <v>13.7</v>
      </c>
      <c r="N62" s="168">
        <v>29</v>
      </c>
      <c r="O62" s="168">
        <v>25</v>
      </c>
      <c r="P62" s="168">
        <v>35</v>
      </c>
    </row>
    <row r="63" spans="1:16" ht="18.75">
      <c r="A63" s="169"/>
      <c r="B63" s="169"/>
      <c r="C63" s="169"/>
      <c r="D63" s="43" t="s">
        <v>91</v>
      </c>
      <c r="E63" s="169"/>
      <c r="F63" s="55">
        <v>0</v>
      </c>
      <c r="G63" s="49" t="s">
        <v>98</v>
      </c>
      <c r="H63" s="169"/>
      <c r="I63" s="169"/>
      <c r="J63" s="169"/>
      <c r="K63" s="169"/>
      <c r="L63" s="173"/>
      <c r="M63" s="169"/>
      <c r="N63" s="169"/>
      <c r="O63" s="169"/>
      <c r="P63" s="169"/>
    </row>
    <row r="64" spans="1:16" ht="15.75" thickBot="1">
      <c r="A64" s="171"/>
      <c r="B64" s="169"/>
      <c r="C64" s="169"/>
      <c r="D64" s="64"/>
      <c r="E64" s="171"/>
      <c r="F64" s="56">
        <v>100</v>
      </c>
      <c r="G64" s="51" t="s">
        <v>96</v>
      </c>
      <c r="H64" s="171"/>
      <c r="I64" s="171"/>
      <c r="J64" s="171"/>
      <c r="K64" s="171"/>
      <c r="L64" s="174"/>
      <c r="M64" s="171"/>
      <c r="N64" s="171"/>
      <c r="O64" s="171"/>
      <c r="P64" s="171"/>
    </row>
    <row r="65" spans="1:16" ht="18.75">
      <c r="A65" s="168" t="s">
        <v>136</v>
      </c>
      <c r="B65" s="169"/>
      <c r="C65" s="169"/>
      <c r="D65" s="47" t="s">
        <v>119</v>
      </c>
      <c r="E65" s="168" t="s">
        <v>136</v>
      </c>
      <c r="F65" s="57">
        <v>0</v>
      </c>
      <c r="G65" s="48" t="s">
        <v>97</v>
      </c>
      <c r="H65" s="168">
        <v>68.14</v>
      </c>
      <c r="I65" s="168">
        <v>82.78</v>
      </c>
      <c r="J65" s="168">
        <v>72.86</v>
      </c>
      <c r="K65" s="168">
        <v>88.52</v>
      </c>
      <c r="L65" s="172">
        <v>1.476</v>
      </c>
      <c r="M65" s="168"/>
      <c r="N65" s="168">
        <v>29</v>
      </c>
      <c r="O65" s="168">
        <v>25</v>
      </c>
      <c r="P65" s="168">
        <v>35</v>
      </c>
    </row>
    <row r="66" spans="1:16" ht="18.75">
      <c r="A66" s="169"/>
      <c r="B66" s="169"/>
      <c r="C66" s="169"/>
      <c r="D66" s="43" t="s">
        <v>121</v>
      </c>
      <c r="E66" s="169"/>
      <c r="F66" s="55">
        <v>0</v>
      </c>
      <c r="G66" s="49" t="s">
        <v>98</v>
      </c>
      <c r="H66" s="169"/>
      <c r="I66" s="169"/>
      <c r="J66" s="169"/>
      <c r="K66" s="169"/>
      <c r="L66" s="173"/>
      <c r="M66" s="169"/>
      <c r="N66" s="169"/>
      <c r="O66" s="169"/>
      <c r="P66" s="169"/>
    </row>
    <row r="67" spans="1:16" ht="19.5" thickBot="1">
      <c r="A67" s="170"/>
      <c r="B67" s="169"/>
      <c r="C67" s="170"/>
      <c r="D67" s="58"/>
      <c r="E67" s="170"/>
      <c r="F67" s="46">
        <v>100</v>
      </c>
      <c r="G67" s="59" t="s">
        <v>95</v>
      </c>
      <c r="H67" s="170"/>
      <c r="I67" s="170"/>
      <c r="J67" s="170"/>
      <c r="K67" s="170"/>
      <c r="L67" s="175"/>
      <c r="M67" s="170"/>
      <c r="N67" s="170"/>
      <c r="O67" s="170"/>
      <c r="P67" s="170"/>
    </row>
    <row r="68" spans="1:16" ht="19.5" thickTop="1">
      <c r="A68" s="168" t="s">
        <v>30</v>
      </c>
      <c r="B68" s="169"/>
      <c r="C68" s="168" t="s">
        <v>137</v>
      </c>
      <c r="D68" s="47" t="s">
        <v>124</v>
      </c>
      <c r="E68" s="168" t="s">
        <v>30</v>
      </c>
      <c r="F68" s="57">
        <v>0</v>
      </c>
      <c r="G68" s="48" t="s">
        <v>97</v>
      </c>
      <c r="H68" s="168">
        <v>70.69</v>
      </c>
      <c r="I68" s="168">
        <v>88</v>
      </c>
      <c r="J68" s="168">
        <v>76.84</v>
      </c>
      <c r="K68" s="168">
        <v>95.65</v>
      </c>
      <c r="L68" s="172">
        <v>1.5549999999999999</v>
      </c>
      <c r="M68" s="168">
        <v>13.7</v>
      </c>
      <c r="N68" s="168">
        <v>37</v>
      </c>
      <c r="O68" s="168">
        <v>25</v>
      </c>
      <c r="P68" s="168">
        <v>45</v>
      </c>
    </row>
    <row r="69" spans="1:16" ht="18.75">
      <c r="A69" s="169"/>
      <c r="B69" s="169"/>
      <c r="C69" s="169"/>
      <c r="D69" s="43" t="s">
        <v>119</v>
      </c>
      <c r="E69" s="169"/>
      <c r="F69" s="55">
        <v>0</v>
      </c>
      <c r="G69" s="49" t="s">
        <v>98</v>
      </c>
      <c r="H69" s="169"/>
      <c r="I69" s="169"/>
      <c r="J69" s="169"/>
      <c r="K69" s="169"/>
      <c r="L69" s="173"/>
      <c r="M69" s="169"/>
      <c r="N69" s="169"/>
      <c r="O69" s="169"/>
      <c r="P69" s="169"/>
    </row>
    <row r="70" spans="1:16" ht="19.5" thickBot="1">
      <c r="A70" s="171"/>
      <c r="B70" s="169"/>
      <c r="C70" s="169"/>
      <c r="D70" s="50" t="s">
        <v>90</v>
      </c>
      <c r="E70" s="171"/>
      <c r="F70" s="56">
        <v>100</v>
      </c>
      <c r="G70" s="51" t="s">
        <v>96</v>
      </c>
      <c r="H70" s="171"/>
      <c r="I70" s="171"/>
      <c r="J70" s="171"/>
      <c r="K70" s="171"/>
      <c r="L70" s="174"/>
      <c r="M70" s="171"/>
      <c r="N70" s="171"/>
      <c r="O70" s="171"/>
      <c r="P70" s="171"/>
    </row>
    <row r="71" spans="1:16" ht="18.75">
      <c r="A71" s="168" t="s">
        <v>136</v>
      </c>
      <c r="B71" s="169"/>
      <c r="C71" s="169"/>
      <c r="D71" s="47" t="s">
        <v>119</v>
      </c>
      <c r="E71" s="168" t="s">
        <v>136</v>
      </c>
      <c r="F71" s="57">
        <v>0</v>
      </c>
      <c r="G71" s="48" t="s">
        <v>97</v>
      </c>
      <c r="H71" s="168">
        <v>68.14</v>
      </c>
      <c r="I71" s="168">
        <v>82.78</v>
      </c>
      <c r="J71" s="168">
        <v>72.86</v>
      </c>
      <c r="K71" s="168">
        <v>88.52</v>
      </c>
      <c r="L71" s="172">
        <v>1.476</v>
      </c>
      <c r="M71" s="168"/>
      <c r="N71" s="168">
        <v>37</v>
      </c>
      <c r="O71" s="168">
        <v>25</v>
      </c>
      <c r="P71" s="168">
        <v>45</v>
      </c>
    </row>
    <row r="72" spans="1:16" ht="18.75">
      <c r="A72" s="169"/>
      <c r="B72" s="169"/>
      <c r="C72" s="169"/>
      <c r="D72" s="43" t="s">
        <v>121</v>
      </c>
      <c r="E72" s="169"/>
      <c r="F72" s="55">
        <v>0</v>
      </c>
      <c r="G72" s="49" t="s">
        <v>98</v>
      </c>
      <c r="H72" s="169"/>
      <c r="I72" s="169"/>
      <c r="J72" s="169"/>
      <c r="K72" s="169"/>
      <c r="L72" s="173"/>
      <c r="M72" s="169"/>
      <c r="N72" s="169"/>
      <c r="O72" s="169"/>
      <c r="P72" s="169"/>
    </row>
    <row r="73" spans="1:16" ht="19.5" thickBot="1">
      <c r="A73" s="171"/>
      <c r="B73" s="171"/>
      <c r="C73" s="171"/>
      <c r="D73" s="50" t="s">
        <v>90</v>
      </c>
      <c r="E73" s="171"/>
      <c r="F73" s="56">
        <v>100</v>
      </c>
      <c r="G73" s="51" t="s">
        <v>95</v>
      </c>
      <c r="H73" s="171"/>
      <c r="I73" s="171"/>
      <c r="J73" s="171"/>
      <c r="K73" s="171"/>
      <c r="L73" s="174"/>
      <c r="M73" s="171"/>
      <c r="N73" s="171"/>
      <c r="O73" s="171"/>
      <c r="P73" s="171"/>
    </row>
    <row r="78" spans="1:16" ht="15">
      <c r="A78" s="26" t="s">
        <v>116</v>
      </c>
      <c r="C78" s="66" t="s">
        <v>117</v>
      </c>
      <c r="D78" s="66" t="s">
        <v>122</v>
      </c>
      <c r="E78" s="66" t="s">
        <v>134</v>
      </c>
    </row>
    <row r="79" spans="1:16">
      <c r="A79" s="26" t="s">
        <v>120</v>
      </c>
      <c r="C79" s="26" t="b">
        <f>OR(C2="G110",C2="G112")</f>
        <v>0</v>
      </c>
      <c r="D79" s="26" t="b">
        <f>OR(C2="G20",C2="G21",C2="G222",C2="G23",C2="G25",C2="G26",C2="G27",C2="G231")</f>
        <v>1</v>
      </c>
      <c r="E79" s="26" t="b">
        <f>OR(C2="G30",C2="G31",C2="G32")</f>
        <v>0</v>
      </c>
    </row>
    <row r="80" spans="1:16">
      <c r="A80" s="26" t="s">
        <v>27</v>
      </c>
    </row>
    <row r="81" spans="1:1">
      <c r="A81" s="26" t="s">
        <v>125</v>
      </c>
    </row>
    <row r="82" spans="1:1">
      <c r="A82" s="26" t="s">
        <v>126</v>
      </c>
    </row>
    <row r="83" spans="1:1">
      <c r="A83" s="26" t="s">
        <v>127</v>
      </c>
    </row>
    <row r="84" spans="1:1">
      <c r="A84" s="26" t="s">
        <v>128</v>
      </c>
    </row>
    <row r="85" spans="1:1">
      <c r="A85" s="26" t="s">
        <v>130</v>
      </c>
    </row>
    <row r="86" spans="1:1">
      <c r="A86" s="26" t="s">
        <v>131</v>
      </c>
    </row>
    <row r="87" spans="1:1">
      <c r="A87" s="26" t="s">
        <v>132</v>
      </c>
    </row>
    <row r="88" spans="1:1">
      <c r="A88" s="26" t="s">
        <v>133</v>
      </c>
    </row>
    <row r="89" spans="1:1">
      <c r="A89" s="26" t="s">
        <v>30</v>
      </c>
    </row>
    <row r="90" spans="1:1">
      <c r="A90" s="26" t="s">
        <v>136</v>
      </c>
    </row>
  </sheetData>
  <mergeCells count="222">
    <mergeCell ref="B3:G3"/>
    <mergeCell ref="H3:K3"/>
    <mergeCell ref="B6:H6"/>
    <mergeCell ref="I6:K6"/>
    <mergeCell ref="A16:A17"/>
    <mergeCell ref="B16:B17"/>
    <mergeCell ref="C16:C17"/>
    <mergeCell ref="D16:D17"/>
    <mergeCell ref="E16:E17"/>
    <mergeCell ref="F16:G16"/>
    <mergeCell ref="M18:M20"/>
    <mergeCell ref="N18:N20"/>
    <mergeCell ref="O18:O20"/>
    <mergeCell ref="P18:P20"/>
    <mergeCell ref="L16:L17"/>
    <mergeCell ref="N16:P16"/>
    <mergeCell ref="F17:G17"/>
    <mergeCell ref="L21:L23"/>
    <mergeCell ref="M21:M23"/>
    <mergeCell ref="N21:N23"/>
    <mergeCell ref="O21:O23"/>
    <mergeCell ref="P21:P23"/>
    <mergeCell ref="J21:J23"/>
    <mergeCell ref="K21:K23"/>
    <mergeCell ref="H18:H20"/>
    <mergeCell ref="I18:I20"/>
    <mergeCell ref="J18:J20"/>
    <mergeCell ref="K18:K20"/>
    <mergeCell ref="A21:A23"/>
    <mergeCell ref="E21:E23"/>
    <mergeCell ref="H21:H23"/>
    <mergeCell ref="I21:I23"/>
    <mergeCell ref="A34:A36"/>
    <mergeCell ref="E34:E36"/>
    <mergeCell ref="H34:H36"/>
    <mergeCell ref="I34:I36"/>
    <mergeCell ref="L18:L20"/>
    <mergeCell ref="A18:A20"/>
    <mergeCell ref="B18:B23"/>
    <mergeCell ref="C18:C23"/>
    <mergeCell ref="E18:E20"/>
    <mergeCell ref="N25:N27"/>
    <mergeCell ref="O25:O27"/>
    <mergeCell ref="P25:P27"/>
    <mergeCell ref="A28:A30"/>
    <mergeCell ref="E28:E30"/>
    <mergeCell ref="H28:H30"/>
    <mergeCell ref="I28:I30"/>
    <mergeCell ref="J28:J30"/>
    <mergeCell ref="K28:K30"/>
    <mergeCell ref="L28:L30"/>
    <mergeCell ref="H25:H27"/>
    <mergeCell ref="I25:I27"/>
    <mergeCell ref="J25:J27"/>
    <mergeCell ref="K25:K27"/>
    <mergeCell ref="L25:L27"/>
    <mergeCell ref="M25:M27"/>
    <mergeCell ref="A25:A27"/>
    <mergeCell ref="B25:B57"/>
    <mergeCell ref="C25:C36"/>
    <mergeCell ref="D25:D27"/>
    <mergeCell ref="E25:E27"/>
    <mergeCell ref="J34:J36"/>
    <mergeCell ref="M28:M30"/>
    <mergeCell ref="N28:N30"/>
    <mergeCell ref="O28:O30"/>
    <mergeCell ref="P28:P30"/>
    <mergeCell ref="A31:A33"/>
    <mergeCell ref="E31:E33"/>
    <mergeCell ref="H31:H33"/>
    <mergeCell ref="I31:I33"/>
    <mergeCell ref="J31:J33"/>
    <mergeCell ref="K31:K33"/>
    <mergeCell ref="K34:K36"/>
    <mergeCell ref="L34:L36"/>
    <mergeCell ref="M34:M36"/>
    <mergeCell ref="N34:N36"/>
    <mergeCell ref="O34:O36"/>
    <mergeCell ref="P34:P36"/>
    <mergeCell ref="L31:L33"/>
    <mergeCell ref="M31:M33"/>
    <mergeCell ref="N31:N33"/>
    <mergeCell ref="O31:O33"/>
    <mergeCell ref="P31:P33"/>
    <mergeCell ref="K37:K39"/>
    <mergeCell ref="L37:L39"/>
    <mergeCell ref="M37:M39"/>
    <mergeCell ref="N37:N39"/>
    <mergeCell ref="O37:O39"/>
    <mergeCell ref="P37:P39"/>
    <mergeCell ref="A37:A39"/>
    <mergeCell ref="C37:C45"/>
    <mergeCell ref="E37:E39"/>
    <mergeCell ref="H37:H39"/>
    <mergeCell ref="I37:I39"/>
    <mergeCell ref="J37:J39"/>
    <mergeCell ref="A40:A42"/>
    <mergeCell ref="E40:E42"/>
    <mergeCell ref="H40:H42"/>
    <mergeCell ref="I40:I42"/>
    <mergeCell ref="P40:P42"/>
    <mergeCell ref="A43:A45"/>
    <mergeCell ref="E43:E45"/>
    <mergeCell ref="H43:H45"/>
    <mergeCell ref="I43:I45"/>
    <mergeCell ref="J43:J45"/>
    <mergeCell ref="K43:K45"/>
    <mergeCell ref="L43:L45"/>
    <mergeCell ref="M43:M45"/>
    <mergeCell ref="N43:N45"/>
    <mergeCell ref="J40:J42"/>
    <mergeCell ref="K40:K42"/>
    <mergeCell ref="L40:L42"/>
    <mergeCell ref="M40:M42"/>
    <mergeCell ref="N40:N42"/>
    <mergeCell ref="O40:O42"/>
    <mergeCell ref="A49:A51"/>
    <mergeCell ref="E49:E51"/>
    <mergeCell ref="H49:H51"/>
    <mergeCell ref="I49:I51"/>
    <mergeCell ref="J49:J51"/>
    <mergeCell ref="O43:O45"/>
    <mergeCell ref="P43:P45"/>
    <mergeCell ref="A46:A48"/>
    <mergeCell ref="C46:C57"/>
    <mergeCell ref="D46:D48"/>
    <mergeCell ref="E46:E48"/>
    <mergeCell ref="H46:H48"/>
    <mergeCell ref="I46:I48"/>
    <mergeCell ref="J46:J48"/>
    <mergeCell ref="K46:K48"/>
    <mergeCell ref="K49:K51"/>
    <mergeCell ref="L49:L51"/>
    <mergeCell ref="M49:M51"/>
    <mergeCell ref="N49:N51"/>
    <mergeCell ref="O49:O51"/>
    <mergeCell ref="P49:P51"/>
    <mergeCell ref="L46:L48"/>
    <mergeCell ref="M46:M48"/>
    <mergeCell ref="N46:N48"/>
    <mergeCell ref="O46:O48"/>
    <mergeCell ref="P46:P48"/>
    <mergeCell ref="A55:A57"/>
    <mergeCell ref="E55:E57"/>
    <mergeCell ref="H55:H57"/>
    <mergeCell ref="I55:I57"/>
    <mergeCell ref="J55:J57"/>
    <mergeCell ref="A52:A54"/>
    <mergeCell ref="E52:E54"/>
    <mergeCell ref="H52:H54"/>
    <mergeCell ref="I52:I54"/>
    <mergeCell ref="J52:J54"/>
    <mergeCell ref="K55:K57"/>
    <mergeCell ref="L55:L57"/>
    <mergeCell ref="M55:M57"/>
    <mergeCell ref="N55:N57"/>
    <mergeCell ref="O55:O57"/>
    <mergeCell ref="P55:P57"/>
    <mergeCell ref="L52:L54"/>
    <mergeCell ref="M52:M54"/>
    <mergeCell ref="N52:N54"/>
    <mergeCell ref="O52:O54"/>
    <mergeCell ref="P52:P54"/>
    <mergeCell ref="K52:K54"/>
    <mergeCell ref="P59:P61"/>
    <mergeCell ref="A62:A64"/>
    <mergeCell ref="E62:E64"/>
    <mergeCell ref="H62:H64"/>
    <mergeCell ref="I62:I64"/>
    <mergeCell ref="J62:J64"/>
    <mergeCell ref="K62:K64"/>
    <mergeCell ref="L62:L64"/>
    <mergeCell ref="M62:M64"/>
    <mergeCell ref="N62:N64"/>
    <mergeCell ref="J59:J61"/>
    <mergeCell ref="K59:K61"/>
    <mergeCell ref="L59:L61"/>
    <mergeCell ref="M59:M61"/>
    <mergeCell ref="N59:N61"/>
    <mergeCell ref="O59:O61"/>
    <mergeCell ref="A59:A61"/>
    <mergeCell ref="B59:B73"/>
    <mergeCell ref="C59:C67"/>
    <mergeCell ref="E59:E61"/>
    <mergeCell ref="H59:H61"/>
    <mergeCell ref="I59:I61"/>
    <mergeCell ref="O62:O64"/>
    <mergeCell ref="P62:P64"/>
    <mergeCell ref="I65:I67"/>
    <mergeCell ref="J65:J67"/>
    <mergeCell ref="K65:K67"/>
    <mergeCell ref="L65:L67"/>
    <mergeCell ref="M65:M67"/>
    <mergeCell ref="A71:A73"/>
    <mergeCell ref="E71:E73"/>
    <mergeCell ref="H71:H73"/>
    <mergeCell ref="I71:I73"/>
    <mergeCell ref="J71:J73"/>
    <mergeCell ref="N65:N67"/>
    <mergeCell ref="O65:O67"/>
    <mergeCell ref="P65:P67"/>
    <mergeCell ref="A68:A70"/>
    <mergeCell ref="C68:C73"/>
    <mergeCell ref="E68:E70"/>
    <mergeCell ref="H68:H70"/>
    <mergeCell ref="I68:I70"/>
    <mergeCell ref="J68:J70"/>
    <mergeCell ref="K68:K70"/>
    <mergeCell ref="K71:K73"/>
    <mergeCell ref="L71:L73"/>
    <mergeCell ref="M71:M73"/>
    <mergeCell ref="N71:N73"/>
    <mergeCell ref="O71:O73"/>
    <mergeCell ref="P71:P73"/>
    <mergeCell ref="L68:L70"/>
    <mergeCell ref="M68:M70"/>
    <mergeCell ref="N68:N70"/>
    <mergeCell ref="O68:O70"/>
    <mergeCell ref="P68:P70"/>
    <mergeCell ref="A65:A67"/>
    <mergeCell ref="E65:E67"/>
    <mergeCell ref="H65:H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rightToLeft="1" workbookViewId="0"/>
  </sheetViews>
  <sheetFormatPr defaultRowHeight="14.25"/>
  <sheetData/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rightToLeft="1" workbookViewId="0"/>
  </sheetViews>
  <sheetFormatPr defaultRowHeight="14.25"/>
  <sheetData/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rightToLeft="1" workbookViewId="0"/>
  </sheetViews>
  <sheetFormatPr defaultRowHeight="14.25"/>
  <sheetData/>
  <pageMargins left="0.7" right="0.7" top="0.75" bottom="0.75" header="0.3" footer="0.3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rightToLeft="1" workbookViewId="0">
      <selection activeCell="L18" sqref="L18"/>
    </sheetView>
  </sheetViews>
  <sheetFormatPr defaultRowHeight="14.25"/>
  <sheetData/>
  <pageMargins left="0.7" right="0.7" top="0.75" bottom="0.75" header="0.3" footer="0.3"/>
  <drawing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showGridLines="0" showRowColHeaders="0" rightToLeft="1" workbookViewId="0">
      <selection activeCell="F15" sqref="F15:H15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4</v>
      </c>
      <c r="C4" s="4"/>
      <c r="D4" s="4"/>
      <c r="E4" s="5" t="str">
        <f>IF(B4="","",VLOOKUP(B4,data!B5:C6,2))</f>
        <v>G31</v>
      </c>
      <c r="F4" s="4"/>
      <c r="G4" s="4"/>
      <c r="H4" s="5">
        <f>IF(B4="","",VLOOKUP(B4,data!B5:E6,4))</f>
        <v>1.5529999999999999</v>
      </c>
      <c r="I4" s="4"/>
      <c r="J4" s="4"/>
      <c r="K4" s="5">
        <f>IF(B4="","",VLOOKUP(B4,data!B5:I6,7))</f>
        <v>29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9</v>
      </c>
      <c r="F7" s="110">
        <f>VLOOKUP(TRUE,data!E10:F13,2,FALSE)</f>
        <v>95.8</v>
      </c>
      <c r="G7" s="111"/>
      <c r="H7" s="112"/>
    </row>
    <row r="8" spans="1:15">
      <c r="O8" t="s">
        <v>9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O9" t="s">
        <v>8</v>
      </c>
    </row>
    <row r="11" spans="1:15" ht="26.25">
      <c r="B11" s="101" t="s">
        <v>10</v>
      </c>
      <c r="C11" s="101"/>
      <c r="D11" s="101"/>
      <c r="F11" s="102">
        <v>870</v>
      </c>
      <c r="G11" s="103"/>
      <c r="H11" s="104"/>
    </row>
    <row r="13" spans="1:15" ht="26.25">
      <c r="B13" s="101" t="s">
        <v>11</v>
      </c>
      <c r="C13" s="101"/>
      <c r="D13" s="101"/>
      <c r="F13" s="102">
        <v>25</v>
      </c>
      <c r="G13" s="103"/>
      <c r="H13" s="104"/>
    </row>
    <row r="15" spans="1:15" ht="26.25">
      <c r="B15" s="101" t="s">
        <v>12</v>
      </c>
      <c r="C15" s="101"/>
      <c r="D15" s="101"/>
      <c r="F15" s="102">
        <v>1.5529999999999999</v>
      </c>
      <c r="G15" s="103"/>
      <c r="H15" s="104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8" spans="6:8" ht="22.5">
      <c r="F18" s="105" t="s">
        <v>13</v>
      </c>
      <c r="G18" s="105"/>
      <c r="H18" s="105"/>
    </row>
    <row r="20" spans="6:8" ht="18">
      <c r="F20" s="106">
        <f>SQRT(((1013.25+K4)/1013.25)*((F11+K4)/1013.25)*(288.15/(273.15+F13))*(F15/H4))</f>
        <v>0.93916325092459518</v>
      </c>
      <c r="G20" s="107"/>
      <c r="H20" s="108"/>
    </row>
  </sheetData>
  <mergeCells count="10">
    <mergeCell ref="B15:D15"/>
    <mergeCell ref="F15:H15"/>
    <mergeCell ref="F18:H18"/>
    <mergeCell ref="F20:H20"/>
    <mergeCell ref="F6:H6"/>
    <mergeCell ref="F7:H7"/>
    <mergeCell ref="B11:D11"/>
    <mergeCell ref="F11:H11"/>
    <mergeCell ref="B13:D13"/>
    <mergeCell ref="F13:H13"/>
  </mergeCells>
  <dataValidations count="2">
    <dataValidation allowBlank="1" showErrorMessage="1" promptTitle="نوع وسیله گاز " prompt="لطفا نوع وسیله گاز سوز انتخاب گردد" sqref="B7"/>
    <dataValidation type="list" allowBlank="1" showInputMessage="1" showErrorMessage="1" promptTitle="گاز آزمون" prompt="نوع گاز آزمون مشخص گردد" sqref="B4">
      <formula1>$O$4:$O$6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showGridLines="0" showRowColHeaders="0" rightToLeft="1" workbookViewId="0">
      <selection activeCell="J14" sqref="J14"/>
    </sheetView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5</v>
      </c>
      <c r="C4" s="4"/>
      <c r="D4" s="4"/>
      <c r="E4" s="5" t="str">
        <f>IF(B4="","",VLOOKUP(B4,data!B5:C6,2))</f>
        <v>G20</v>
      </c>
      <c r="F4" s="4"/>
      <c r="G4" s="4"/>
      <c r="H4" s="5">
        <f>IF(B4="","",VLOOKUP(B4,data!B5:E6,4))</f>
        <v>0.55500000000000005</v>
      </c>
      <c r="I4" s="4"/>
      <c r="J4" s="4"/>
      <c r="K4" s="5">
        <f>IF(B4="","",VLOOKUP(B4,data!B5:I6,7))</f>
        <v>20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8</v>
      </c>
      <c r="F7" s="110">
        <f>VLOOKUP(TRUE,data!E35:F38,2,FALSE)</f>
        <v>34.020000000000003</v>
      </c>
      <c r="G7" s="111"/>
      <c r="H7" s="112"/>
    </row>
    <row r="8" spans="1:15">
      <c r="O8" t="s">
        <v>9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O9" t="s">
        <v>8</v>
      </c>
    </row>
    <row r="11" spans="1:15" ht="26.25">
      <c r="B11" s="101" t="s">
        <v>10</v>
      </c>
      <c r="C11" s="101"/>
      <c r="D11" s="101"/>
      <c r="F11" s="113">
        <v>870</v>
      </c>
      <c r="G11" s="114"/>
      <c r="H11" s="115"/>
    </row>
    <row r="13" spans="1:15" ht="26.25">
      <c r="B13" s="101" t="s">
        <v>11</v>
      </c>
      <c r="C13" s="101"/>
      <c r="D13" s="101"/>
      <c r="F13" s="113">
        <v>25</v>
      </c>
      <c r="G13" s="114"/>
      <c r="H13" s="115"/>
    </row>
    <row r="15" spans="1:15" ht="26.25">
      <c r="B15" s="101" t="s">
        <v>12</v>
      </c>
      <c r="C15" s="101"/>
      <c r="D15" s="101"/>
      <c r="F15" s="113">
        <v>1.5529999999999999</v>
      </c>
      <c r="G15" s="114"/>
      <c r="H15" s="115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8" spans="6:8" ht="22.5">
      <c r="F18" s="105" t="s">
        <v>13</v>
      </c>
      <c r="G18" s="105"/>
      <c r="H18" s="105"/>
    </row>
    <row r="20" spans="6:8" ht="18">
      <c r="F20" s="106">
        <f>SQRT(((1013.25+K4)/1013.25)*((F11+K4)/1013.25)*(288.15/(273.15+F13))*(F15/H4))</f>
        <v>1.5563678081914909</v>
      </c>
      <c r="G20" s="107"/>
      <c r="H20" s="108"/>
    </row>
  </sheetData>
  <mergeCells count="10">
    <mergeCell ref="B15:D15"/>
    <mergeCell ref="F15:H15"/>
    <mergeCell ref="F18:H18"/>
    <mergeCell ref="F20:H20"/>
    <mergeCell ref="F6:H6"/>
    <mergeCell ref="F7:H7"/>
    <mergeCell ref="B11:D11"/>
    <mergeCell ref="F11:H11"/>
    <mergeCell ref="B13:D13"/>
    <mergeCell ref="F13:H13"/>
  </mergeCells>
  <dataValidations count="2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showGridLines="0" showRowColHeaders="0" rightToLeft="1" workbookViewId="0"/>
  </sheetViews>
  <sheetFormatPr defaultRowHeight="14.25"/>
  <cols>
    <col min="2" max="2" width="11.375" customWidth="1"/>
    <col min="5" max="5" width="11.625" bestFit="1" customWidth="1"/>
    <col min="8" max="8" width="11.75" bestFit="1" customWidth="1"/>
    <col min="15" max="15" width="0" hidden="1" customWidth="1"/>
  </cols>
  <sheetData>
    <row r="2" spans="1:15" hidden="1"/>
    <row r="3" spans="1:15" ht="21">
      <c r="B3" s="1" t="s">
        <v>0</v>
      </c>
      <c r="C3" s="2"/>
      <c r="D3" s="2"/>
      <c r="E3" s="2" t="s">
        <v>1</v>
      </c>
      <c r="F3" s="2"/>
      <c r="G3" s="2"/>
      <c r="H3" s="2" t="s">
        <v>2</v>
      </c>
      <c r="I3" s="2"/>
      <c r="J3" s="2"/>
      <c r="K3" s="2" t="s">
        <v>3</v>
      </c>
    </row>
    <row r="4" spans="1:15" ht="18">
      <c r="B4" s="3" t="s">
        <v>4</v>
      </c>
      <c r="C4" s="4"/>
      <c r="D4" s="4"/>
      <c r="E4" s="5" t="str">
        <f>IF(B4="","",VLOOKUP(B4,data!B5:C6,2))</f>
        <v>G31</v>
      </c>
      <c r="F4" s="4"/>
      <c r="G4" s="4"/>
      <c r="H4" s="5">
        <f>IF(B4="","",VLOOKUP(B4,data!B5:E6,4))</f>
        <v>1.5529999999999999</v>
      </c>
      <c r="I4" s="4"/>
      <c r="J4" s="4"/>
      <c r="K4" s="5">
        <f>IF(B4="","",VLOOKUP(B4,data!B5:I6,7))</f>
        <v>29</v>
      </c>
      <c r="O4" t="s">
        <v>5</v>
      </c>
    </row>
    <row r="5" spans="1:15">
      <c r="O5" t="s">
        <v>4</v>
      </c>
    </row>
    <row r="6" spans="1:15" ht="21">
      <c r="B6" s="1" t="s">
        <v>6</v>
      </c>
      <c r="F6" s="109" t="s">
        <v>7</v>
      </c>
      <c r="G6" s="109"/>
      <c r="H6" s="109"/>
    </row>
    <row r="7" spans="1:15" ht="18">
      <c r="B7" s="3" t="s">
        <v>9</v>
      </c>
      <c r="F7" s="110">
        <f>VLOOKUP(TRUE,data!K10:L13,2,FALSE)</f>
        <v>95.8</v>
      </c>
      <c r="G7" s="111"/>
      <c r="H7" s="112"/>
    </row>
    <row r="8" spans="1:15">
      <c r="O8" t="s">
        <v>9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O9" t="s">
        <v>8</v>
      </c>
    </row>
    <row r="11" spans="1:15" ht="26.25">
      <c r="B11" s="101" t="s">
        <v>10</v>
      </c>
      <c r="C11" s="101"/>
      <c r="D11" s="101"/>
      <c r="F11" s="113">
        <v>850</v>
      </c>
      <c r="G11" s="114"/>
      <c r="H11" s="115"/>
      <c r="J11" s="105" t="s">
        <v>52</v>
      </c>
      <c r="K11" s="105"/>
      <c r="L11" s="105"/>
    </row>
    <row r="13" spans="1:15" ht="26.25">
      <c r="B13" s="101" t="s">
        <v>53</v>
      </c>
      <c r="C13" s="101"/>
      <c r="D13" s="101"/>
      <c r="F13" s="113">
        <v>0</v>
      </c>
      <c r="G13" s="114"/>
      <c r="H13" s="115"/>
      <c r="J13" s="116">
        <f>EXP(21.094-(5262/(273.15+F15)))</f>
        <v>31.348471838613449</v>
      </c>
      <c r="K13" s="117"/>
      <c r="L13" s="118"/>
    </row>
    <row r="15" spans="1:15" ht="26.25">
      <c r="B15" s="101" t="s">
        <v>11</v>
      </c>
      <c r="C15" s="101"/>
      <c r="D15" s="101"/>
      <c r="F15" s="113">
        <v>25</v>
      </c>
      <c r="G15" s="114"/>
      <c r="H15" s="115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8" spans="6:8" ht="22.5">
      <c r="F18" s="105" t="s">
        <v>54</v>
      </c>
      <c r="G18" s="105"/>
      <c r="H18" s="105"/>
    </row>
    <row r="20" spans="6:8" ht="18">
      <c r="F20" s="106">
        <f>((F11+K4-F13)/1013.25)*(288.15/(273.15+F15))</f>
        <v>0.83840927267619847</v>
      </c>
      <c r="G20" s="107"/>
      <c r="H20" s="108"/>
    </row>
  </sheetData>
  <mergeCells count="12">
    <mergeCell ref="F18:H18"/>
    <mergeCell ref="F20:H20"/>
    <mergeCell ref="F6:H6"/>
    <mergeCell ref="F7:H7"/>
    <mergeCell ref="B11:D11"/>
    <mergeCell ref="F11:H11"/>
    <mergeCell ref="J11:L11"/>
    <mergeCell ref="B13:D13"/>
    <mergeCell ref="F13:H13"/>
    <mergeCell ref="J13:L13"/>
    <mergeCell ref="B15:D15"/>
    <mergeCell ref="F15:H15"/>
  </mergeCells>
  <dataValidations count="2">
    <dataValidation type="list" allowBlank="1" showInputMessage="1" showErrorMessage="1" promptTitle="گاز آزمون" prompt="نوع گاز آزمون مشخص گردد" sqref="B4">
      <formula1>$O$4:$O$6</formula1>
    </dataValidation>
    <dataValidation allowBlank="1" promptTitle="نوع وسیله گاز " prompt="لطفا نوع وسیله گاز سوز انتخاب گردد" sqref="B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ورود</vt:lpstr>
      <vt:lpstr>موضوعات</vt:lpstr>
      <vt:lpstr>لیست تجهیزات</vt:lpstr>
      <vt:lpstr>پخت و پز خانگی</vt:lpstr>
      <vt:lpstr>پخت و پز صنعتی</vt:lpstr>
      <vt:lpstr>سماور گازی</vt:lpstr>
      <vt:lpstr>ضریب تصحی توان حرارتی خانگی</vt:lpstr>
      <vt:lpstr>ضریب تصحی توان حرارتی صنعتی</vt:lpstr>
      <vt:lpstr>ضریب تصحیح بازده خانگی</vt:lpstr>
      <vt:lpstr>ضریب تصحیح بازده صنعتی</vt:lpstr>
      <vt:lpstr>گذر حجمی</vt:lpstr>
      <vt:lpstr>توان خانگی</vt:lpstr>
      <vt:lpstr>توان صنعتی</vt:lpstr>
      <vt:lpstr>بازده خانگی</vt:lpstr>
      <vt:lpstr>بازده صنعتی</vt:lpstr>
      <vt:lpstr>فشار بخار</vt:lpstr>
      <vt:lpstr>احتراق</vt:lpstr>
      <vt:lpstr>گرید صفحه</vt:lpstr>
      <vt:lpstr>مصرف جبرانی</vt:lpstr>
      <vt:lpstr>جدول گاز</vt:lpstr>
      <vt:lpstr>data</vt:lpstr>
      <vt:lpstr>GAS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2023-05-03T06:37:21Z</dcterms:modified>
</cp:coreProperties>
</file>